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'Лист1'!$A$1:$N$156</definedName>
  </definedNames>
  <calcPr fullCalcOnLoad="1"/>
</workbook>
</file>

<file path=xl/sharedStrings.xml><?xml version="1.0" encoding="utf-8"?>
<sst xmlns="http://schemas.openxmlformats.org/spreadsheetml/2006/main" count="360" uniqueCount="330">
  <si>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</si>
  <si>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</si>
  <si>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</si>
  <si>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</si>
  <si>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</si>
  <si>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</si>
  <si>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</si>
  <si>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</si>
  <si>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</si>
  <si>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</si>
  <si>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</si>
  <si>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</si>
  <si>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</si>
  <si>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</si>
  <si>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</si>
  <si>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</si>
  <si>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</si>
  <si>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</si>
  <si>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</si>
  <si>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</si>
  <si>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</si>
  <si>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</si>
  <si>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</si>
  <si>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</si>
  <si>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</si>
  <si>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</si>
  <si>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</si>
  <si>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</si>
  <si>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</si>
  <si>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</si>
  <si>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</si>
  <si>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</si>
  <si>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</si>
  <si>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</si>
  <si>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</si>
  <si>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</si>
  <si>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</si>
  <si>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</si>
  <si>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</si>
  <si>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</si>
  <si>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</si>
  <si>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</si>
  <si>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</si>
  <si>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</si>
  <si>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</si>
  <si>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</si>
  <si>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</si>
  <si>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</si>
  <si>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</si>
  <si>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</si>
  <si>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</si>
  <si>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</si>
  <si>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</si>
  <si>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</si>
  <si>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</si>
  <si>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</si>
  <si>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</si>
  <si>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</si>
  <si>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</si>
  <si>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</si>
  <si>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</si>
  <si>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</si>
  <si>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</si>
  <si>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</si>
  <si>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</si>
  <si>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</si>
  <si>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</si>
  <si>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</si>
  <si>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</si>
  <si>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</si>
  <si>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</si>
  <si>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</si>
  <si>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</si>
  <si>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</si>
  <si>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</si>
  <si>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</si>
  <si>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</si>
  <si>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</si>
  <si>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</si>
  <si>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</si>
  <si>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</si>
  <si>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</si>
  <si>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</si>
  <si>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</si>
  <si>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</si>
  <si>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</si>
  <si>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</si>
  <si>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</si>
  <si>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</si>
  <si>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</si>
  <si>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</si>
  <si>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</si>
  <si>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</si>
  <si>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</si>
  <si>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</si>
  <si>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</si>
  <si>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</si>
  <si>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</si>
  <si>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</si>
  <si>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</si>
  <si>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</si>
  <si>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</si>
  <si>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</si>
  <si>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</si>
  <si>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</si>
  <si>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</si>
  <si>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</si>
  <si>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</si>
  <si>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</si>
  <si>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</si>
  <si>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</si>
  <si>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</si>
  <si>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</si>
  <si>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</si>
  <si>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</si>
  <si>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</si>
  <si>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</si>
  <si>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</si>
  <si>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</si>
  <si>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</si>
  <si>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</si>
  <si>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</si>
  <si>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</si>
  <si>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</si>
  <si>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</si>
  <si>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</si>
  <si>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</si>
  <si>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</si>
  <si>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</si>
  <si>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</si>
  <si>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</si>
  <si>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</si>
  <si>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</si>
  <si>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</si>
  <si>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</si>
  <si>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</si>
  <si>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</si>
  <si>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</si>
  <si>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</si>
  <si>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</si>
  <si>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</si>
  <si>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</si>
  <si>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</si>
  <si>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</si>
  <si>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</si>
  <si>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</si>
  <si>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</si>
  <si>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</si>
  <si>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</si>
  <si>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</si>
  <si>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</si>
  <si>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</si>
  <si>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</si>
  <si>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</si>
  <si>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</si>
  <si>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</si>
  <si>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</si>
  <si>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</si>
  <si>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</si>
  <si>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</si>
  <si>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</si>
  <si>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</si>
  <si>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</si>
  <si>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</si>
  <si>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</si>
  <si>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</si>
  <si>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</si>
  <si>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</si>
  <si>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</si>
  <si>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</si>
  <si>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</si>
  <si>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</si>
  <si>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</si>
  <si>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</si>
  <si>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</si>
  <si>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</si>
  <si>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</si>
  <si>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</si>
  <si>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</si>
  <si>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</si>
  <si>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</si>
  <si>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</si>
  <si>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</si>
  <si>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</si>
  <si>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</si>
  <si>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</si>
  <si>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</si>
  <si>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</si>
  <si>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</si>
  <si>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</si>
  <si>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</si>
  <si>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</si>
  <si>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</si>
  <si>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</si>
  <si>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</si>
  <si>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</si>
  <si>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</si>
  <si>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</si>
  <si>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</si>
  <si>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</si>
  <si>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</si>
  <si>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</si>
  <si>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</si>
  <si>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</si>
  <si>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</si>
  <si>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</si>
  <si>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</si>
  <si>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</si>
  <si>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</si>
  <si>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</si>
  <si>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</si>
  <si>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</si>
  <si>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</si>
  <si>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</si>
  <si>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</si>
  <si>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</si>
  <si>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</si>
  <si>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</si>
  <si>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</si>
  <si>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</si>
  <si>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</si>
  <si>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</si>
  <si>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</si>
  <si>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</si>
  <si>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</si>
  <si>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</si>
  <si>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</si>
  <si>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</si>
  <si>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</si>
  <si>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</si>
  <si>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</si>
  <si>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</si>
  <si>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</si>
  <si>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</si>
  <si>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</si>
  <si>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</si>
  <si>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</si>
  <si>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</si>
  <si>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</si>
  <si>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</si>
  <si>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</si>
  <si>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</si>
  <si>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</si>
  <si>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</si>
  <si>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</si>
  <si>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</si>
  <si>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</si>
  <si>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</si>
  <si>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</si>
  <si>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</si>
  <si>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</si>
  <si>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</si>
  <si>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</si>
  <si>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</si>
  <si>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</si>
  <si>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</si>
  <si>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</si>
  <si>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</si>
  <si>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</si>
  <si>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</si>
  <si>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</si>
  <si>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</si>
  <si>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</si>
  <si>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</si>
  <si>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</si>
  <si>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</si>
  <si>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</si>
  <si>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</si>
  <si>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</si>
  <si>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</si>
  <si>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</si>
  <si>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</si>
  <si>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</si>
  <si>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</si>
  <si>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</si>
  <si>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</si>
  <si>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</si>
  <si>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</si>
  <si>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</si>
  <si>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</si>
  <si>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</si>
  <si>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</si>
  <si>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</si>
  <si>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</si>
  <si>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</si>
  <si>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</si>
  <si>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</si>
  <si>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</si>
  <si>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</si>
  <si>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</si>
  <si>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</si>
  <si>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</si>
  <si>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</si>
  <si>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</si>
  <si>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</si>
  <si>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</si>
  <si>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</si>
  <si>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</si>
  <si>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</si>
  <si>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</si>
  <si>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</si>
  <si>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</si>
  <si>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</si>
  <si>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</si>
  <si>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</si>
  <si>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</si>
  <si>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</si>
  <si>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</si>
  <si>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</si>
  <si>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</si>
  <si>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</si>
  <si>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</si>
  <si>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</si>
  <si>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</si>
  <si>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</si>
  <si>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</si>
  <si>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</si>
  <si>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</si>
  <si>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</si>
  <si>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</si>
  <si>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</si>
  <si>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Заходи державної політики з питань  молоді</t>
  </si>
  <si>
    <t>0318803</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</si>
  <si>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</si>
  <si>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0318800</t>
  </si>
  <si>
    <t>1013140</t>
  </si>
  <si>
    <t>Заходи державної політики з питань  дітей та їх соціального захисту</t>
  </si>
  <si>
    <t>1513017</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</si>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</sst>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49" fontId="9" fillId="0" borderId="0" xfId="0" applyNumberFormat="1" applyFont="1" applyAlignment="1">
      <alignment vertical="top"/>
    </xf>
    <xf numFmtId="49" fontId="14" fillId="0" borderId="0" xfId="0" applyNumberFormat="1" applyFont="1" applyAlignment="1">
      <alignment horizontal="center" vertical="justify"/>
    </xf>
    <xf numFmtId="0" fontId="14" fillId="0" borderId="0" xfId="0" applyFont="1" applyAlignment="1" applyProtection="1">
      <alignment horizontal="left" wrapText="1"/>
      <protection locked="0"/>
    </xf>
    <xf numFmtId="174" fontId="9" fillId="0" borderId="0" xfId="0" applyNumberFormat="1" applyFont="1" applyAlignment="1">
      <alignment vertical="justify"/>
    </xf>
    <xf numFmtId="0" fontId="14" fillId="0" borderId="0" xfId="0" applyFont="1" applyAlignment="1" applyProtection="1">
      <alignment horizontal="left" vertical="top" wrapText="1"/>
      <protection locked="0"/>
    </xf>
    <xf numFmtId="183" fontId="9" fillId="0" borderId="0" xfId="0" applyNumberFormat="1" applyFont="1" applyAlignment="1">
      <alignment vertical="justify"/>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2" xfId="0" applyFont="1" applyBorder="1" applyAlignment="1">
      <alignment horizontal="center" vertical="center" wrapText="1"/>
    </xf>
    <xf numFmtId="0" fontId="0" fillId="0" borderId="23"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0"/>
  <sheetViews>
    <sheetView tabSelected="1" view="pageBreakPreview" zoomScale="75" zoomScaleNormal="65" zoomScaleSheetLayoutView="75" zoomScalePageLayoutView="50" workbookViewId="0" topLeftCell="B1">
      <pane ySplit="5685" topLeftCell="BM148" activePane="bottomLeft" state="split"/>
      <selection pane="topLeft" activeCell="D145" sqref="D145"/>
      <selection pane="bottomLeft" activeCell="H150" sqref="H150"/>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254</v>
      </c>
      <c r="N2" s="6"/>
    </row>
    <row r="3" spans="10:14" ht="15.75">
      <c r="J3" s="1" t="s">
        <v>78</v>
      </c>
      <c r="M3" s="6" t="s">
        <v>75</v>
      </c>
      <c r="N3" s="6"/>
    </row>
    <row r="4" spans="10:14" ht="15.75">
      <c r="J4" s="1" t="s">
        <v>78</v>
      </c>
      <c r="M4" s="6" t="s">
        <v>114</v>
      </c>
      <c r="N4" s="6"/>
    </row>
    <row r="5" spans="13:14" ht="15.75">
      <c r="M5" s="6"/>
      <c r="N5" s="6"/>
    </row>
    <row r="6" spans="2:14" ht="20.25">
      <c r="B6" s="96" t="s">
        <v>302</v>
      </c>
      <c r="C6" s="96"/>
      <c r="D6" s="96"/>
      <c r="E6" s="96"/>
      <c r="F6" s="96"/>
      <c r="G6" s="96"/>
      <c r="H6" s="96"/>
      <c r="I6" s="96"/>
      <c r="J6" s="96"/>
      <c r="K6" s="96"/>
      <c r="L6" s="96"/>
      <c r="M6" s="96"/>
      <c r="N6" s="96"/>
    </row>
    <row r="7" spans="2:14" ht="20.25">
      <c r="B7" s="67"/>
      <c r="C7" s="67"/>
      <c r="D7" s="67"/>
      <c r="E7" s="67"/>
      <c r="F7" s="67" t="s">
        <v>253</v>
      </c>
      <c r="G7" s="67"/>
      <c r="H7" s="67"/>
      <c r="I7" s="67"/>
      <c r="J7" s="67"/>
      <c r="K7" s="67"/>
      <c r="L7" s="67"/>
      <c r="M7" s="67"/>
      <c r="N7" s="67"/>
    </row>
    <row r="8" ht="14.25" customHeight="1" thickBot="1">
      <c r="N8" s="1" t="s">
        <v>7</v>
      </c>
    </row>
    <row r="9" spans="1:14" ht="63.75" customHeight="1">
      <c r="A9" s="103" t="s">
        <v>119</v>
      </c>
      <c r="B9" s="103" t="s">
        <v>120</v>
      </c>
      <c r="C9" s="58" t="s">
        <v>90</v>
      </c>
      <c r="D9" s="109" t="s">
        <v>25</v>
      </c>
      <c r="E9" s="110"/>
      <c r="F9" s="110"/>
      <c r="G9" s="109" t="s">
        <v>26</v>
      </c>
      <c r="H9" s="115"/>
      <c r="I9" s="115"/>
      <c r="J9" s="115"/>
      <c r="K9" s="115"/>
      <c r="L9" s="115"/>
      <c r="M9" s="116"/>
      <c r="N9" s="101" t="s">
        <v>97</v>
      </c>
    </row>
    <row r="10" spans="1:14" ht="12.75" customHeight="1">
      <c r="A10" s="104"/>
      <c r="B10" s="104"/>
      <c r="C10" s="119" t="s">
        <v>91</v>
      </c>
      <c r="D10" s="112" t="s">
        <v>3</v>
      </c>
      <c r="E10" s="98" t="s">
        <v>4</v>
      </c>
      <c r="F10" s="98"/>
      <c r="G10" s="97" t="s">
        <v>3</v>
      </c>
      <c r="H10" s="98" t="s">
        <v>27</v>
      </c>
      <c r="I10" s="98" t="s">
        <v>4</v>
      </c>
      <c r="J10" s="98"/>
      <c r="K10" s="98" t="s">
        <v>28</v>
      </c>
      <c r="L10" s="106" t="s">
        <v>94</v>
      </c>
      <c r="M10" s="107"/>
      <c r="N10" s="102"/>
    </row>
    <row r="11" spans="1:14" ht="12.75" customHeight="1">
      <c r="A11" s="104"/>
      <c r="B11" s="104"/>
      <c r="C11" s="120"/>
      <c r="D11" s="113"/>
      <c r="E11" s="99" t="s">
        <v>5</v>
      </c>
      <c r="F11" s="99" t="s">
        <v>6</v>
      </c>
      <c r="G11" s="97"/>
      <c r="H11" s="98"/>
      <c r="I11" s="99" t="s">
        <v>5</v>
      </c>
      <c r="J11" s="99" t="s">
        <v>6</v>
      </c>
      <c r="K11" s="98"/>
      <c r="L11" s="117" t="s">
        <v>95</v>
      </c>
      <c r="M11" s="45" t="s">
        <v>94</v>
      </c>
      <c r="N11" s="102"/>
    </row>
    <row r="12" spans="1:14" ht="130.5" customHeight="1">
      <c r="A12" s="104"/>
      <c r="B12" s="105"/>
      <c r="C12" s="121"/>
      <c r="D12" s="114"/>
      <c r="E12" s="100"/>
      <c r="F12" s="100"/>
      <c r="G12" s="97"/>
      <c r="H12" s="98"/>
      <c r="I12" s="100"/>
      <c r="J12" s="100"/>
      <c r="K12" s="98"/>
      <c r="L12" s="118"/>
      <c r="M12" s="45" t="s">
        <v>96</v>
      </c>
      <c r="N12" s="102"/>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121</v>
      </c>
      <c r="B14" s="38"/>
      <c r="C14" s="7" t="s">
        <v>30</v>
      </c>
      <c r="D14" s="6"/>
      <c r="E14" s="6"/>
      <c r="F14" s="6"/>
      <c r="N14" s="28"/>
    </row>
    <row r="15" spans="1:14" ht="23.25" customHeight="1">
      <c r="A15" s="64" t="s">
        <v>123</v>
      </c>
      <c r="B15" s="38"/>
      <c r="C15" s="7" t="s">
        <v>30</v>
      </c>
      <c r="D15" s="6"/>
      <c r="E15" s="6"/>
      <c r="F15" s="6"/>
      <c r="N15" s="28"/>
    </row>
    <row r="16" spans="1:14" ht="66" customHeight="1">
      <c r="A16" s="65" t="s">
        <v>122</v>
      </c>
      <c r="B16" s="39" t="s">
        <v>89</v>
      </c>
      <c r="C16" s="27" t="s">
        <v>127</v>
      </c>
      <c r="D16" s="26">
        <f>1030.155+6+18.658-10.068+3.69+12-4.549</f>
        <v>1055.886</v>
      </c>
      <c r="E16" s="26">
        <f>627.6-7.389-1.149</f>
        <v>619.062</v>
      </c>
      <c r="F16" s="26">
        <f>82.255+3.69+1.5</f>
        <v>87.445</v>
      </c>
      <c r="G16" s="26">
        <f>H16+K16</f>
        <v>2</v>
      </c>
      <c r="H16" s="26">
        <v>2</v>
      </c>
      <c r="I16" s="26"/>
      <c r="J16" s="26"/>
      <c r="K16" s="26"/>
      <c r="L16" s="26"/>
      <c r="M16" s="26"/>
      <c r="N16" s="26">
        <f aca="true" t="shared" si="0" ref="N16:N21">SUM(D16,G16)</f>
        <v>1057.886</v>
      </c>
    </row>
    <row r="17" spans="1:14" ht="15.75" customHeight="1">
      <c r="A17" s="87" t="s">
        <v>124</v>
      </c>
      <c r="B17" s="53" t="s">
        <v>17</v>
      </c>
      <c r="C17" s="16" t="s">
        <v>31</v>
      </c>
      <c r="D17" s="57">
        <f>D19+D20</f>
        <v>32.82261</v>
      </c>
      <c r="E17" s="6"/>
      <c r="F17" s="26"/>
      <c r="G17" s="26"/>
      <c r="H17" s="26"/>
      <c r="I17" s="26"/>
      <c r="J17" s="26"/>
      <c r="K17" s="26"/>
      <c r="L17" s="26"/>
      <c r="M17" s="26"/>
      <c r="N17" s="57">
        <f t="shared" si="0"/>
        <v>32.82261</v>
      </c>
    </row>
    <row r="18" spans="1:14" ht="15.75" customHeight="1">
      <c r="A18" s="64" t="s">
        <v>314</v>
      </c>
      <c r="B18" s="53"/>
      <c r="C18" s="86" t="s">
        <v>315</v>
      </c>
      <c r="D18" s="26">
        <f>D19+D20</f>
        <v>32.82261</v>
      </c>
      <c r="E18" s="6"/>
      <c r="F18" s="26"/>
      <c r="G18" s="26"/>
      <c r="H18" s="26"/>
      <c r="I18" s="26"/>
      <c r="J18" s="26"/>
      <c r="K18" s="26"/>
      <c r="L18" s="26"/>
      <c r="M18" s="26"/>
      <c r="N18" s="26">
        <f t="shared" si="0"/>
        <v>32.82261</v>
      </c>
    </row>
    <row r="19" spans="1:14" ht="15.75" customHeight="1">
      <c r="A19" s="64" t="s">
        <v>125</v>
      </c>
      <c r="B19" s="39" t="s">
        <v>23</v>
      </c>
      <c r="C19" s="31" t="s">
        <v>126</v>
      </c>
      <c r="D19" s="57">
        <f>54.625-30.80239</f>
        <v>23.82261</v>
      </c>
      <c r="E19" s="6"/>
      <c r="F19" s="26"/>
      <c r="G19" s="26"/>
      <c r="H19" s="26"/>
      <c r="I19" s="26"/>
      <c r="J19" s="26"/>
      <c r="K19" s="26"/>
      <c r="L19" s="26"/>
      <c r="M19" s="26"/>
      <c r="N19" s="57">
        <f t="shared" si="0"/>
        <v>23.82261</v>
      </c>
    </row>
    <row r="20" spans="1:14" ht="15.75" customHeight="1">
      <c r="A20" s="64" t="s">
        <v>128</v>
      </c>
      <c r="B20" s="39" t="s">
        <v>32</v>
      </c>
      <c r="C20" s="31" t="s">
        <v>129</v>
      </c>
      <c r="D20" s="26">
        <f>40-32+1</f>
        <v>9</v>
      </c>
      <c r="E20" s="6"/>
      <c r="F20" s="26"/>
      <c r="G20" s="26"/>
      <c r="H20" s="26"/>
      <c r="I20" s="26"/>
      <c r="J20" s="26"/>
      <c r="K20" s="26"/>
      <c r="L20" s="26"/>
      <c r="M20" s="26"/>
      <c r="N20" s="26">
        <f t="shared" si="0"/>
        <v>9</v>
      </c>
    </row>
    <row r="21" spans="1:14" ht="18" customHeight="1">
      <c r="A21" s="64"/>
      <c r="B21" s="40"/>
      <c r="C21" s="7" t="s">
        <v>3</v>
      </c>
      <c r="D21" s="89">
        <f>D16+D17</f>
        <v>1088.70861</v>
      </c>
      <c r="E21" s="29">
        <f>E16+E17</f>
        <v>619.062</v>
      </c>
      <c r="F21" s="29">
        <f>F16+F17</f>
        <v>87.445</v>
      </c>
      <c r="G21" s="29">
        <f>H21+K21</f>
        <v>2</v>
      </c>
      <c r="H21" s="29">
        <f>H16+H17</f>
        <v>2</v>
      </c>
      <c r="I21" s="29"/>
      <c r="J21" s="29"/>
      <c r="K21" s="29">
        <f>K16+K17</f>
        <v>0</v>
      </c>
      <c r="L21" s="29">
        <f>L16+L17</f>
        <v>0</v>
      </c>
      <c r="M21" s="29">
        <f>M16+M17</f>
        <v>0</v>
      </c>
      <c r="N21" s="89">
        <f t="shared" si="0"/>
        <v>1090.70861</v>
      </c>
    </row>
    <row r="22" spans="1:14" s="19" customFormat="1" ht="9" customHeight="1">
      <c r="A22" s="63"/>
      <c r="B22" s="40"/>
      <c r="C22" s="18"/>
      <c r="D22" s="26"/>
      <c r="E22" s="26"/>
      <c r="F22" s="26"/>
      <c r="G22" s="26"/>
      <c r="H22" s="26"/>
      <c r="I22" s="26"/>
      <c r="J22" s="26"/>
      <c r="K22" s="26"/>
      <c r="L22" s="26"/>
      <c r="M22" s="26"/>
      <c r="N22" s="26"/>
    </row>
    <row r="23" spans="1:15" s="19" customFormat="1" ht="15.75">
      <c r="A23" s="64" t="s">
        <v>130</v>
      </c>
      <c r="B23" s="38"/>
      <c r="C23" s="12" t="s">
        <v>33</v>
      </c>
      <c r="D23" s="26"/>
      <c r="E23" s="26"/>
      <c r="F23" s="26"/>
      <c r="G23" s="26"/>
      <c r="H23" s="26"/>
      <c r="I23" s="26"/>
      <c r="J23" s="26"/>
      <c r="K23" s="26"/>
      <c r="L23" s="26"/>
      <c r="M23" s="26"/>
      <c r="N23" s="26"/>
      <c r="O23" s="54"/>
    </row>
    <row r="24" spans="1:15" s="19" customFormat="1" ht="15.75">
      <c r="A24" s="64" t="s">
        <v>131</v>
      </c>
      <c r="B24" s="38"/>
      <c r="C24" s="12" t="s">
        <v>33</v>
      </c>
      <c r="D24" s="26"/>
      <c r="E24" s="26"/>
      <c r="F24" s="26"/>
      <c r="G24" s="26"/>
      <c r="H24" s="26"/>
      <c r="I24" s="26"/>
      <c r="J24" s="26"/>
      <c r="K24" s="26"/>
      <c r="L24" s="26"/>
      <c r="M24" s="26"/>
      <c r="N24" s="26"/>
      <c r="O24" s="54"/>
    </row>
    <row r="25" spans="1:15" s="19" customFormat="1" ht="15.75">
      <c r="A25" s="64" t="s">
        <v>262</v>
      </c>
      <c r="B25" s="38"/>
      <c r="C25" s="74" t="s">
        <v>263</v>
      </c>
      <c r="D25" s="26">
        <f>D26</f>
        <v>57.98</v>
      </c>
      <c r="E25" s="26"/>
      <c r="F25" s="26"/>
      <c r="G25" s="26"/>
      <c r="H25" s="26"/>
      <c r="I25" s="26"/>
      <c r="J25" s="26"/>
      <c r="K25" s="26"/>
      <c r="L25" s="26"/>
      <c r="M25" s="26"/>
      <c r="N25" s="26">
        <f>SUM(D25,G25)</f>
        <v>57.98</v>
      </c>
      <c r="O25" s="54"/>
    </row>
    <row r="26" spans="1:15" s="19" customFormat="1" ht="30" customHeight="1">
      <c r="A26" s="65" t="s">
        <v>132</v>
      </c>
      <c r="B26" s="39" t="s">
        <v>43</v>
      </c>
      <c r="C26" s="49" t="s">
        <v>133</v>
      </c>
      <c r="D26" s="26">
        <v>57.98</v>
      </c>
      <c r="E26" s="26"/>
      <c r="F26" s="26"/>
      <c r="G26" s="26"/>
      <c r="H26" s="26"/>
      <c r="I26" s="26"/>
      <c r="J26" s="26"/>
      <c r="K26" s="26"/>
      <c r="L26" s="26"/>
      <c r="M26" s="26"/>
      <c r="N26" s="26">
        <f>SUM(D26,G26)</f>
        <v>57.98</v>
      </c>
      <c r="O26" s="54"/>
    </row>
    <row r="27" spans="1:15" s="19" customFormat="1" ht="15.75">
      <c r="A27" s="64" t="s">
        <v>134</v>
      </c>
      <c r="B27" s="41" t="s">
        <v>34</v>
      </c>
      <c r="C27" s="32" t="s">
        <v>115</v>
      </c>
      <c r="D27" s="29">
        <f>D28+D29</f>
        <v>19070.386</v>
      </c>
      <c r="E27" s="29">
        <f>E28+E29</f>
        <v>7136.588</v>
      </c>
      <c r="F27" s="29">
        <f>F28+F29</f>
        <v>1501.0900000000001</v>
      </c>
      <c r="G27" s="29">
        <f>H27+K27</f>
        <v>545.755</v>
      </c>
      <c r="H27" s="29">
        <f aca="true" t="shared" si="1" ref="H27:M27">H28+H29</f>
        <v>358.4</v>
      </c>
      <c r="I27" s="29">
        <f t="shared" si="1"/>
        <v>130</v>
      </c>
      <c r="J27" s="29">
        <f t="shared" si="1"/>
        <v>0</v>
      </c>
      <c r="K27" s="29">
        <f t="shared" si="1"/>
        <v>187.35500000000002</v>
      </c>
      <c r="L27" s="29">
        <f t="shared" si="1"/>
        <v>187.35500000000002</v>
      </c>
      <c r="M27" s="29">
        <f t="shared" si="1"/>
        <v>138.5</v>
      </c>
      <c r="N27" s="29">
        <f>SUM(D27,G27)</f>
        <v>19616.141</v>
      </c>
      <c r="O27" s="54"/>
    </row>
    <row r="28" spans="1:15" s="19" customFormat="1" ht="17.25" customHeight="1">
      <c r="A28" s="64" t="s">
        <v>135</v>
      </c>
      <c r="B28" s="42" t="s">
        <v>35</v>
      </c>
      <c r="C28" s="66" t="s">
        <v>136</v>
      </c>
      <c r="D28" s="26">
        <f>12962.69+105.883+153+1.9-441.7+141.69+210</f>
        <v>13133.463</v>
      </c>
      <c r="E28" s="26">
        <f>7238.4-322.812+221</f>
        <v>7136.588</v>
      </c>
      <c r="F28" s="26">
        <f>1266.4+141.69+93</f>
        <v>1501.0900000000001</v>
      </c>
      <c r="G28" s="26">
        <f>H28+K28</f>
        <v>528.855</v>
      </c>
      <c r="H28" s="26">
        <f>350</f>
        <v>350</v>
      </c>
      <c r="I28" s="26">
        <v>130</v>
      </c>
      <c r="J28" s="26"/>
      <c r="K28" s="21">
        <f>298.3+30+102.1+248.855-300.4-200</f>
        <v>178.85500000000002</v>
      </c>
      <c r="L28" s="21">
        <f>298.3+30+102.1+248.855-300.4-200</f>
        <v>178.85500000000002</v>
      </c>
      <c r="M28" s="21">
        <f>298.3+30+102.1-300.4</f>
        <v>130</v>
      </c>
      <c r="N28" s="26">
        <f>SUM(D28,G28)</f>
        <v>13662.318</v>
      </c>
      <c r="O28" s="54"/>
    </row>
    <row r="29" spans="1:15" s="19" customFormat="1" ht="19.5" customHeight="1">
      <c r="A29" s="64" t="s">
        <v>137</v>
      </c>
      <c r="B29" s="42" t="s">
        <v>110</v>
      </c>
      <c r="C29" s="33" t="s">
        <v>138</v>
      </c>
      <c r="D29" s="26">
        <f>6237.867+1.716+18-384+33.34+30</f>
        <v>5936.923000000001</v>
      </c>
      <c r="E29" s="26"/>
      <c r="F29" s="26"/>
      <c r="G29" s="26">
        <f>H29+K29</f>
        <v>16.9</v>
      </c>
      <c r="H29" s="26">
        <v>8.4</v>
      </c>
      <c r="I29" s="26"/>
      <c r="J29" s="26"/>
      <c r="K29" s="21">
        <f>2.5+6</f>
        <v>8.5</v>
      </c>
      <c r="L29" s="21">
        <f>2.5+6</f>
        <v>8.5</v>
      </c>
      <c r="M29" s="21">
        <f>2.5+6</f>
        <v>8.5</v>
      </c>
      <c r="N29" s="26">
        <f>SUM(D29,G29)</f>
        <v>5953.823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304</v>
      </c>
      <c r="B34" s="42" t="s">
        <v>29</v>
      </c>
      <c r="C34" s="84" t="s">
        <v>8</v>
      </c>
      <c r="D34" s="26">
        <f>D36</f>
        <v>9.2</v>
      </c>
      <c r="E34" s="26"/>
      <c r="F34" s="26"/>
      <c r="G34" s="26"/>
      <c r="H34" s="26"/>
      <c r="I34" s="26"/>
      <c r="J34" s="26"/>
      <c r="K34" s="26"/>
      <c r="L34" s="26"/>
      <c r="M34" s="26"/>
      <c r="N34" s="26">
        <f>SUM(D34,G34)</f>
        <v>9.2</v>
      </c>
      <c r="O34" s="54"/>
    </row>
    <row r="35" spans="1:15" s="19" customFormat="1" ht="15.75">
      <c r="A35" s="64" t="s">
        <v>305</v>
      </c>
      <c r="B35" s="42"/>
      <c r="C35" s="85" t="s">
        <v>306</v>
      </c>
      <c r="D35" s="26">
        <f>1.1+7.5</f>
        <v>8.6</v>
      </c>
      <c r="E35" s="26"/>
      <c r="F35" s="26"/>
      <c r="G35" s="26"/>
      <c r="H35" s="26"/>
      <c r="I35" s="26"/>
      <c r="J35" s="26"/>
      <c r="K35" s="26"/>
      <c r="L35" s="26"/>
      <c r="M35" s="26"/>
      <c r="N35" s="26">
        <f>SUM(D35,G35)</f>
        <v>8.6</v>
      </c>
      <c r="O35" s="54"/>
    </row>
    <row r="36" spans="1:15" s="19" customFormat="1" ht="35.25" customHeight="1">
      <c r="A36" s="65" t="s">
        <v>307</v>
      </c>
      <c r="B36" s="43" t="s">
        <v>303</v>
      </c>
      <c r="C36" s="33" t="s">
        <v>326</v>
      </c>
      <c r="D36" s="26">
        <f>0.5+0.6+7.5+0.4+0.2</f>
        <v>9.2</v>
      </c>
      <c r="E36" s="26"/>
      <c r="F36" s="26"/>
      <c r="G36" s="26"/>
      <c r="H36" s="26"/>
      <c r="I36" s="26"/>
      <c r="J36" s="26"/>
      <c r="K36" s="26"/>
      <c r="L36" s="26"/>
      <c r="M36" s="26"/>
      <c r="N36" s="26">
        <f>SUM(D36,G36)</f>
        <v>9.2</v>
      </c>
      <c r="O36" s="54"/>
    </row>
    <row r="37" spans="1:15" s="19" customFormat="1" ht="22.5" customHeight="1">
      <c r="A37" s="65" t="s">
        <v>140</v>
      </c>
      <c r="B37" s="43" t="s">
        <v>109</v>
      </c>
      <c r="C37" s="35" t="s">
        <v>141</v>
      </c>
      <c r="D37" s="26"/>
      <c r="E37" s="26"/>
      <c r="F37" s="26"/>
      <c r="G37" s="26">
        <f>H37+K37</f>
        <v>538.284</v>
      </c>
      <c r="H37" s="26">
        <f>124.7+40.199</f>
        <v>164.899</v>
      </c>
      <c r="I37" s="26"/>
      <c r="J37" s="26"/>
      <c r="K37" s="26">
        <f>264.9+108.485</f>
        <v>373.385</v>
      </c>
      <c r="L37" s="26"/>
      <c r="M37" s="26"/>
      <c r="N37" s="26">
        <f>SUM(D37,G37)</f>
        <v>538.284</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308</v>
      </c>
      <c r="B39" s="43" t="s">
        <v>309</v>
      </c>
      <c r="C39" s="35" t="s">
        <v>310</v>
      </c>
      <c r="D39" s="26">
        <f>4.122+51+1.415+30.827-4.971</f>
        <v>82.393</v>
      </c>
      <c r="E39" s="26"/>
      <c r="F39" s="26"/>
      <c r="G39" s="26"/>
      <c r="H39" s="26"/>
      <c r="I39" s="26"/>
      <c r="J39" s="26"/>
      <c r="K39" s="26"/>
      <c r="L39" s="26"/>
      <c r="M39" s="26"/>
      <c r="N39" s="26">
        <f aca="true" t="shared" si="2" ref="N39:N44">SUM(D39,G39)</f>
        <v>82.393</v>
      </c>
      <c r="O39" s="54"/>
    </row>
    <row r="40" spans="1:15" s="19" customFormat="1" ht="23.25" customHeight="1">
      <c r="A40" s="65" t="s">
        <v>324</v>
      </c>
      <c r="B40" s="43" t="s">
        <v>107</v>
      </c>
      <c r="C40" s="35" t="s">
        <v>272</v>
      </c>
      <c r="D40" s="26">
        <f>D41</f>
        <v>4.971</v>
      </c>
      <c r="E40" s="26"/>
      <c r="F40" s="26"/>
      <c r="G40" s="26"/>
      <c r="H40" s="26"/>
      <c r="I40" s="26"/>
      <c r="J40" s="26"/>
      <c r="K40" s="26"/>
      <c r="L40" s="26"/>
      <c r="M40" s="26"/>
      <c r="N40" s="26">
        <f t="shared" si="2"/>
        <v>4.971</v>
      </c>
      <c r="O40" s="54"/>
    </row>
    <row r="41" spans="1:15" s="19" customFormat="1" ht="81" customHeight="1">
      <c r="A41" s="90" t="s">
        <v>322</v>
      </c>
      <c r="B41" s="91" t="s">
        <v>107</v>
      </c>
      <c r="C41" s="92" t="s">
        <v>323</v>
      </c>
      <c r="D41" s="93">
        <v>4.971</v>
      </c>
      <c r="E41" s="26"/>
      <c r="F41" s="26"/>
      <c r="G41" s="26"/>
      <c r="H41" s="26"/>
      <c r="I41" s="26"/>
      <c r="J41" s="26"/>
      <c r="K41" s="26"/>
      <c r="L41" s="26"/>
      <c r="M41" s="26"/>
      <c r="N41" s="26">
        <f t="shared" si="2"/>
        <v>4.971</v>
      </c>
      <c r="O41" s="54"/>
    </row>
    <row r="42" spans="1:15" s="19" customFormat="1" ht="15.75">
      <c r="A42" s="65" t="s">
        <v>264</v>
      </c>
      <c r="B42" s="73"/>
      <c r="C42" s="49" t="s">
        <v>265</v>
      </c>
      <c r="D42" s="26">
        <f>D43+D44</f>
        <v>189.104</v>
      </c>
      <c r="E42" s="26"/>
      <c r="F42" s="26"/>
      <c r="G42" s="26"/>
      <c r="H42" s="26"/>
      <c r="I42" s="26"/>
      <c r="J42" s="26"/>
      <c r="K42" s="26"/>
      <c r="L42" s="26"/>
      <c r="M42" s="26"/>
      <c r="N42" s="26">
        <f t="shared" si="2"/>
        <v>189.104</v>
      </c>
      <c r="O42" s="54"/>
    </row>
    <row r="43" spans="1:15" s="19" customFormat="1" ht="33" customHeight="1">
      <c r="A43" s="65" t="s">
        <v>142</v>
      </c>
      <c r="B43" s="43" t="s">
        <v>20</v>
      </c>
      <c r="C43" s="34" t="s">
        <v>76</v>
      </c>
      <c r="D43" s="26">
        <f>162+7.104</f>
        <v>169.104</v>
      </c>
      <c r="E43" s="48"/>
      <c r="F43" s="26"/>
      <c r="G43" s="26"/>
      <c r="H43" s="26"/>
      <c r="I43" s="26"/>
      <c r="J43" s="26"/>
      <c r="K43" s="26"/>
      <c r="L43" s="26"/>
      <c r="M43" s="26"/>
      <c r="N43" s="26">
        <f t="shared" si="2"/>
        <v>169.104</v>
      </c>
      <c r="O43" s="54"/>
    </row>
    <row r="44" spans="1:15" s="19" customFormat="1" ht="64.5" customHeight="1">
      <c r="A44" s="65" t="s">
        <v>318</v>
      </c>
      <c r="B44" s="43" t="s">
        <v>20</v>
      </c>
      <c r="C44" s="49" t="s">
        <v>319</v>
      </c>
      <c r="D44" s="26">
        <v>20</v>
      </c>
      <c r="E44" s="48"/>
      <c r="F44" s="26"/>
      <c r="G44" s="26"/>
      <c r="H44" s="26"/>
      <c r="I44" s="26"/>
      <c r="J44" s="26"/>
      <c r="K44" s="26"/>
      <c r="L44" s="26"/>
      <c r="M44" s="26"/>
      <c r="N44" s="26">
        <f t="shared" si="2"/>
        <v>20</v>
      </c>
      <c r="O44" s="54"/>
    </row>
    <row r="45" spans="1:15" ht="15.75">
      <c r="A45" s="65"/>
      <c r="B45" s="40"/>
      <c r="C45" s="12" t="s">
        <v>9</v>
      </c>
      <c r="D45" s="29">
        <f>D27+D43+D26+D36+D39+D44+D41</f>
        <v>19414.034</v>
      </c>
      <c r="E45" s="29">
        <f>E27+E43+E26</f>
        <v>7136.588</v>
      </c>
      <c r="F45" s="29">
        <f>F27+F43+F26</f>
        <v>1501.0900000000001</v>
      </c>
      <c r="G45" s="29">
        <f>H45+K45</f>
        <v>1084.039</v>
      </c>
      <c r="H45" s="29">
        <f aca="true" t="shared" si="3" ref="H45:M45">H27+H37+H43+H26</f>
        <v>523.299</v>
      </c>
      <c r="I45" s="29">
        <f t="shared" si="3"/>
        <v>130</v>
      </c>
      <c r="J45" s="29">
        <f t="shared" si="3"/>
        <v>0</v>
      </c>
      <c r="K45" s="29">
        <f t="shared" si="3"/>
        <v>560.74</v>
      </c>
      <c r="L45" s="29">
        <f t="shared" si="3"/>
        <v>187.35500000000002</v>
      </c>
      <c r="M45" s="29">
        <f t="shared" si="3"/>
        <v>138.5</v>
      </c>
      <c r="N45" s="29">
        <f>D45+G45</f>
        <v>20498.073</v>
      </c>
      <c r="O45" s="23"/>
    </row>
    <row r="46" spans="1:15" ht="15.75">
      <c r="A46" s="65" t="s">
        <v>245</v>
      </c>
      <c r="B46" s="39"/>
      <c r="C46" s="20" t="s">
        <v>116</v>
      </c>
      <c r="D46" s="26"/>
      <c r="E46" s="26"/>
      <c r="F46" s="26"/>
      <c r="G46" s="26"/>
      <c r="H46" s="26"/>
      <c r="I46" s="26"/>
      <c r="J46" s="26"/>
      <c r="K46" s="26"/>
      <c r="L46" s="26"/>
      <c r="M46" s="26"/>
      <c r="N46" s="26"/>
      <c r="O46" s="23"/>
    </row>
    <row r="47" spans="1:15" ht="15.75">
      <c r="A47" s="65" t="s">
        <v>246</v>
      </c>
      <c r="B47" s="39"/>
      <c r="C47" s="20" t="s">
        <v>116</v>
      </c>
      <c r="D47" s="26"/>
      <c r="E47" s="26"/>
      <c r="F47" s="26"/>
      <c r="G47" s="26"/>
      <c r="H47" s="26"/>
      <c r="I47" s="26"/>
      <c r="J47" s="26"/>
      <c r="K47" s="26"/>
      <c r="L47" s="26"/>
      <c r="M47" s="26"/>
      <c r="N47" s="26"/>
      <c r="O47" s="23"/>
    </row>
    <row r="48" spans="1:15" ht="15.75">
      <c r="A48" s="65" t="s">
        <v>257</v>
      </c>
      <c r="B48" s="44" t="s">
        <v>37</v>
      </c>
      <c r="C48" s="7" t="s">
        <v>10</v>
      </c>
      <c r="D48" s="29">
        <f>D49+D50+D51+D52+D53+D55+D57+D56</f>
        <v>48325.412</v>
      </c>
      <c r="E48" s="29">
        <f>E49+E50+E51+E52+E53+E55+E57+E56</f>
        <v>29665.697999999997</v>
      </c>
      <c r="F48" s="29">
        <f>F49+F50+F51+F52+F53+F55+F57+F56</f>
        <v>4563.983</v>
      </c>
      <c r="G48" s="29">
        <f aca="true" t="shared" si="4" ref="G48:M48">G49+G50+G51+G52+G53+G55+G57+G56</f>
        <v>142.851</v>
      </c>
      <c r="H48" s="29">
        <f t="shared" si="4"/>
        <v>25.7</v>
      </c>
      <c r="I48" s="29">
        <f t="shared" si="4"/>
        <v>0</v>
      </c>
      <c r="J48" s="29">
        <f t="shared" si="4"/>
        <v>0</v>
      </c>
      <c r="K48" s="29">
        <f>K49+K50+K51+K52+K53+K55+K57+K56</f>
        <v>117.15100000000001</v>
      </c>
      <c r="L48" s="29">
        <f t="shared" si="4"/>
        <v>117.15100000000001</v>
      </c>
      <c r="M48" s="29">
        <f t="shared" si="4"/>
        <v>113.285</v>
      </c>
      <c r="N48" s="29">
        <f>SUM(D48,G48)</f>
        <v>48468.263</v>
      </c>
      <c r="O48" s="23"/>
    </row>
    <row r="49" spans="1:15" ht="63">
      <c r="A49" s="65" t="s">
        <v>143</v>
      </c>
      <c r="B49" s="56" t="s">
        <v>38</v>
      </c>
      <c r="C49" s="49" t="s">
        <v>144</v>
      </c>
      <c r="D49" s="26">
        <f>44743.114+194.117+5+18-0.04-2570.193+566.82+10+9+8-107.9</f>
        <v>42875.918</v>
      </c>
      <c r="E49" s="26">
        <f>28210.317-1337.965-53</f>
        <v>26819.352</v>
      </c>
      <c r="F49" s="26">
        <f>3693.899+566.82-17</f>
        <v>4243.719</v>
      </c>
      <c r="G49" s="26">
        <f>H49+K49</f>
        <v>127.85100000000001</v>
      </c>
      <c r="H49" s="26">
        <v>10.7</v>
      </c>
      <c r="I49" s="26"/>
      <c r="J49" s="26"/>
      <c r="K49" s="26">
        <f>170.1+73.285+3.866-170.1+40</f>
        <v>117.15100000000001</v>
      </c>
      <c r="L49" s="26">
        <f>170.1+73.285+3.866-170.1+40</f>
        <v>117.15100000000001</v>
      </c>
      <c r="M49" s="26">
        <f>170.1+73.285-170.1+40</f>
        <v>113.285</v>
      </c>
      <c r="N49" s="26">
        <f aca="true" t="shared" si="5" ref="N49:N65">SUM(D49,G49)</f>
        <v>43003.769</v>
      </c>
      <c r="O49" s="23"/>
    </row>
    <row r="50" spans="1:15" ht="35.25" customHeight="1">
      <c r="A50" s="65" t="s">
        <v>145</v>
      </c>
      <c r="B50" s="43" t="s">
        <v>39</v>
      </c>
      <c r="C50" s="34" t="s">
        <v>146</v>
      </c>
      <c r="D50" s="26">
        <f>1736.446+12.815-3.311-10+16.34-4+1</f>
        <v>1749.29</v>
      </c>
      <c r="E50" s="26">
        <f>1087.282-17.929-7.342</f>
        <v>1062.0109999999997</v>
      </c>
      <c r="F50" s="26">
        <f>100.453+16.34</f>
        <v>116.793</v>
      </c>
      <c r="G50" s="26">
        <f>H50+K50</f>
        <v>15</v>
      </c>
      <c r="H50" s="26">
        <v>15</v>
      </c>
      <c r="I50" s="26"/>
      <c r="J50" s="26"/>
      <c r="K50" s="26"/>
      <c r="L50" s="26"/>
      <c r="M50" s="26"/>
      <c r="N50" s="26">
        <f t="shared" si="5"/>
        <v>1764.29</v>
      </c>
      <c r="O50" s="23"/>
    </row>
    <row r="51" spans="1:15" ht="35.25" customHeight="1">
      <c r="A51" s="65" t="s">
        <v>147</v>
      </c>
      <c r="B51" s="56" t="s">
        <v>40</v>
      </c>
      <c r="C51" s="69" t="s">
        <v>148</v>
      </c>
      <c r="D51" s="26">
        <f>597.499+8.851-13.852+4.51</f>
        <v>597.008</v>
      </c>
      <c r="E51" s="26">
        <f>415.61-10.573</f>
        <v>405.03700000000003</v>
      </c>
      <c r="F51" s="26">
        <f>29.773+4.51</f>
        <v>34.283</v>
      </c>
      <c r="G51" s="26"/>
      <c r="H51" s="26"/>
      <c r="I51" s="26"/>
      <c r="J51" s="26"/>
      <c r="K51" s="26"/>
      <c r="L51" s="26"/>
      <c r="M51" s="26"/>
      <c r="N51" s="26">
        <f t="shared" si="5"/>
        <v>597.008</v>
      </c>
      <c r="O51" s="23"/>
    </row>
    <row r="52" spans="1:15" ht="15.75">
      <c r="A52" s="65" t="s">
        <v>149</v>
      </c>
      <c r="B52" s="43" t="s">
        <v>41</v>
      </c>
      <c r="C52" s="33" t="s">
        <v>150</v>
      </c>
      <c r="D52" s="26">
        <f>18.809+5.486</f>
        <v>24.295</v>
      </c>
      <c r="E52" s="26">
        <v>13.939</v>
      </c>
      <c r="F52" s="26"/>
      <c r="G52" s="26"/>
      <c r="H52" s="26"/>
      <c r="I52" s="26"/>
      <c r="J52" s="26"/>
      <c r="K52" s="26"/>
      <c r="L52" s="26"/>
      <c r="M52" s="26"/>
      <c r="N52" s="26">
        <f t="shared" si="5"/>
        <v>24.295</v>
      </c>
      <c r="O52" s="23"/>
    </row>
    <row r="53" spans="1:15" ht="33" customHeight="1">
      <c r="A53" s="65" t="s">
        <v>151</v>
      </c>
      <c r="B53" s="56" t="s">
        <v>42</v>
      </c>
      <c r="C53" s="49" t="s">
        <v>152</v>
      </c>
      <c r="D53" s="26">
        <f>14.382+17.983</f>
        <v>32.365</v>
      </c>
      <c r="E53" s="26">
        <v>10.832</v>
      </c>
      <c r="F53" s="26"/>
      <c r="G53" s="26"/>
      <c r="H53" s="26"/>
      <c r="I53" s="26"/>
      <c r="J53" s="26"/>
      <c r="K53" s="26"/>
      <c r="L53" s="26"/>
      <c r="M53" s="26"/>
      <c r="N53" s="26">
        <f t="shared" si="5"/>
        <v>32.365</v>
      </c>
      <c r="O53" s="23"/>
    </row>
    <row r="54" spans="1:15" ht="21" customHeight="1">
      <c r="A54" s="65" t="s">
        <v>266</v>
      </c>
      <c r="B54" s="56"/>
      <c r="C54" s="49" t="s">
        <v>263</v>
      </c>
      <c r="D54" s="46">
        <f>D55</f>
        <v>909.08</v>
      </c>
      <c r="E54" s="46"/>
      <c r="F54" s="46"/>
      <c r="G54" s="46">
        <f>G55</f>
        <v>0</v>
      </c>
      <c r="H54" s="46"/>
      <c r="I54" s="46"/>
      <c r="J54" s="46"/>
      <c r="K54" s="46">
        <f>K55</f>
        <v>0</v>
      </c>
      <c r="L54" s="46">
        <f>L55</f>
        <v>0</v>
      </c>
      <c r="M54" s="46">
        <f>M55</f>
        <v>0</v>
      </c>
      <c r="N54" s="26">
        <f t="shared" si="5"/>
        <v>909.08</v>
      </c>
      <c r="O54" s="75"/>
    </row>
    <row r="55" spans="1:15" ht="25.5" customHeight="1">
      <c r="A55" s="65" t="s">
        <v>153</v>
      </c>
      <c r="B55" s="56" t="s">
        <v>43</v>
      </c>
      <c r="C55" s="76" t="s">
        <v>244</v>
      </c>
      <c r="D55" s="46">
        <f>760.26+30.82+5+31+16.1+26+5+34.9</f>
        <v>909.08</v>
      </c>
      <c r="E55" s="46"/>
      <c r="F55" s="46"/>
      <c r="G55" s="46">
        <f>H55+K55</f>
        <v>0</v>
      </c>
      <c r="H55" s="46"/>
      <c r="I55" s="46"/>
      <c r="J55" s="46"/>
      <c r="K55" s="46"/>
      <c r="L55" s="46"/>
      <c r="M55" s="46"/>
      <c r="N55" s="46">
        <f t="shared" si="5"/>
        <v>909.08</v>
      </c>
      <c r="O55" s="75"/>
    </row>
    <row r="56" spans="1:15" ht="15.75">
      <c r="A56" s="65" t="s">
        <v>154</v>
      </c>
      <c r="B56" s="56" t="s">
        <v>108</v>
      </c>
      <c r="C56" s="76" t="s">
        <v>155</v>
      </c>
      <c r="D56" s="46">
        <f>2191.661-33.191+1.088-23.312-40+15.87</f>
        <v>2112.1160000000004</v>
      </c>
      <c r="E56" s="46">
        <f>1426.07-24.771-17.23-29.542</f>
        <v>1354.527</v>
      </c>
      <c r="F56" s="46">
        <f>153.318+15.87</f>
        <v>169.18800000000002</v>
      </c>
      <c r="G56" s="46"/>
      <c r="H56" s="46"/>
      <c r="I56" s="46"/>
      <c r="J56" s="46"/>
      <c r="K56" s="46"/>
      <c r="L56" s="46"/>
      <c r="M56" s="46"/>
      <c r="N56" s="46">
        <f t="shared" si="5"/>
        <v>2112.1160000000004</v>
      </c>
      <c r="O56" s="75"/>
    </row>
    <row r="57" spans="1:15" ht="36" customHeight="1">
      <c r="A57" s="65" t="s">
        <v>156</v>
      </c>
      <c r="B57" s="56" t="s">
        <v>44</v>
      </c>
      <c r="C57" s="49" t="s">
        <v>157</v>
      </c>
      <c r="D57" s="26">
        <f>25.3+0.04</f>
        <v>25.34</v>
      </c>
      <c r="E57" s="26"/>
      <c r="F57" s="26"/>
      <c r="G57" s="26"/>
      <c r="H57" s="26"/>
      <c r="I57" s="26"/>
      <c r="J57" s="26"/>
      <c r="K57" s="26"/>
      <c r="L57" s="26"/>
      <c r="M57" s="26"/>
      <c r="N57" s="26">
        <f t="shared" si="5"/>
        <v>25.34</v>
      </c>
      <c r="O57" s="23"/>
    </row>
    <row r="58" spans="1:15" ht="24.75" customHeight="1">
      <c r="A58" s="90" t="s">
        <v>325</v>
      </c>
      <c r="B58" s="91" t="s">
        <v>320</v>
      </c>
      <c r="C58" s="94" t="s">
        <v>321</v>
      </c>
      <c r="D58" s="93">
        <v>6</v>
      </c>
      <c r="E58" s="26"/>
      <c r="F58" s="26"/>
      <c r="G58" s="26"/>
      <c r="H58" s="26"/>
      <c r="I58" s="26"/>
      <c r="J58" s="26"/>
      <c r="K58" s="26"/>
      <c r="L58" s="26"/>
      <c r="M58" s="26"/>
      <c r="N58" s="26">
        <f t="shared" si="5"/>
        <v>6</v>
      </c>
      <c r="O58" s="23"/>
    </row>
    <row r="59" spans="1:15" ht="24.75" customHeight="1">
      <c r="A59" s="65" t="s">
        <v>291</v>
      </c>
      <c r="B59" s="82" t="s">
        <v>293</v>
      </c>
      <c r="C59" s="81" t="s">
        <v>292</v>
      </c>
      <c r="D59" s="29">
        <f>D60+D62+D63</f>
        <v>1059.622</v>
      </c>
      <c r="E59" s="29">
        <f>E60+E62+E63</f>
        <v>584.322</v>
      </c>
      <c r="F59" s="29">
        <f>F60+F62+F63</f>
        <v>98.74199999999999</v>
      </c>
      <c r="G59" s="29"/>
      <c r="H59" s="29"/>
      <c r="I59" s="29"/>
      <c r="J59" s="29"/>
      <c r="K59" s="29"/>
      <c r="L59" s="29"/>
      <c r="M59" s="29"/>
      <c r="N59" s="29">
        <f t="shared" si="5"/>
        <v>1059.622</v>
      </c>
      <c r="O59" s="23"/>
    </row>
    <row r="60" spans="1:15" ht="20.25" customHeight="1">
      <c r="A60" s="65" t="s">
        <v>267</v>
      </c>
      <c r="B60" s="56"/>
      <c r="C60" s="83" t="s">
        <v>268</v>
      </c>
      <c r="D60" s="26">
        <f>D61</f>
        <v>932.0490000000001</v>
      </c>
      <c r="E60" s="26">
        <f>E61</f>
        <v>584.322</v>
      </c>
      <c r="F60" s="26">
        <f>F61</f>
        <v>98.74199999999999</v>
      </c>
      <c r="G60" s="26"/>
      <c r="H60" s="26"/>
      <c r="I60" s="26"/>
      <c r="J60" s="26"/>
      <c r="K60" s="26"/>
      <c r="L60" s="26"/>
      <c r="M60" s="26"/>
      <c r="N60" s="26">
        <f t="shared" si="5"/>
        <v>932.0490000000001</v>
      </c>
      <c r="O60" s="23"/>
    </row>
    <row r="61" spans="1:15" ht="32.25" customHeight="1">
      <c r="A61" s="65" t="s">
        <v>158</v>
      </c>
      <c r="B61" s="56" t="s">
        <v>15</v>
      </c>
      <c r="C61" s="33" t="s">
        <v>159</v>
      </c>
      <c r="D61" s="26">
        <f>883.224+11.397-8.532-12+6.96+51</f>
        <v>932.0490000000001</v>
      </c>
      <c r="E61" s="26">
        <f>574.425-6.303-8.8+25</f>
        <v>584.322</v>
      </c>
      <c r="F61" s="26">
        <f>74.782+6.96+17</f>
        <v>98.74199999999999</v>
      </c>
      <c r="G61" s="26"/>
      <c r="H61" s="26"/>
      <c r="I61" s="26"/>
      <c r="J61" s="26"/>
      <c r="K61" s="26"/>
      <c r="L61" s="26"/>
      <c r="M61" s="26"/>
      <c r="N61" s="26">
        <f t="shared" si="5"/>
        <v>932.0490000000001</v>
      </c>
      <c r="O61" s="23"/>
    </row>
    <row r="62" spans="1:15" ht="30" customHeight="1">
      <c r="A62" s="65" t="s">
        <v>294</v>
      </c>
      <c r="B62" s="56" t="s">
        <v>99</v>
      </c>
      <c r="C62" s="33" t="s">
        <v>295</v>
      </c>
      <c r="D62" s="26">
        <f>11</f>
        <v>11</v>
      </c>
      <c r="E62" s="26"/>
      <c r="F62" s="26"/>
      <c r="G62" s="26"/>
      <c r="H62" s="26"/>
      <c r="I62" s="26"/>
      <c r="J62" s="26"/>
      <c r="K62" s="26"/>
      <c r="L62" s="26"/>
      <c r="M62" s="26"/>
      <c r="N62" s="26">
        <f t="shared" si="5"/>
        <v>11</v>
      </c>
      <c r="O62" s="23"/>
    </row>
    <row r="63" spans="1:15" ht="24" customHeight="1">
      <c r="A63" s="65" t="s">
        <v>297</v>
      </c>
      <c r="B63" s="56"/>
      <c r="C63" s="49" t="s">
        <v>296</v>
      </c>
      <c r="D63" s="46">
        <f>D64+D65</f>
        <v>116.57300000000001</v>
      </c>
      <c r="E63" s="46"/>
      <c r="F63" s="26"/>
      <c r="G63" s="26"/>
      <c r="H63" s="26"/>
      <c r="I63" s="26"/>
      <c r="J63" s="26"/>
      <c r="K63" s="26"/>
      <c r="L63" s="26"/>
      <c r="M63" s="26"/>
      <c r="N63" s="26">
        <f t="shared" si="5"/>
        <v>116.57300000000001</v>
      </c>
      <c r="O63" s="23"/>
    </row>
    <row r="64" spans="1:15" ht="48.75" customHeight="1">
      <c r="A64" s="65" t="s">
        <v>299</v>
      </c>
      <c r="B64" s="56" t="s">
        <v>111</v>
      </c>
      <c r="C64" s="49" t="s">
        <v>298</v>
      </c>
      <c r="D64" s="46">
        <f>51-6-30.827</f>
        <v>14.172999999999998</v>
      </c>
      <c r="E64" s="46"/>
      <c r="F64" s="26"/>
      <c r="G64" s="26"/>
      <c r="H64" s="26"/>
      <c r="I64" s="26"/>
      <c r="J64" s="26"/>
      <c r="K64" s="26"/>
      <c r="L64" s="26"/>
      <c r="M64" s="26"/>
      <c r="N64" s="26">
        <f t="shared" si="5"/>
        <v>14.172999999999998</v>
      </c>
      <c r="O64" s="23"/>
    </row>
    <row r="65" spans="1:15" ht="32.25" customHeight="1">
      <c r="A65" s="65" t="s">
        <v>301</v>
      </c>
      <c r="B65" s="56" t="s">
        <v>16</v>
      </c>
      <c r="C65" s="49" t="s">
        <v>300</v>
      </c>
      <c r="D65" s="46">
        <f>108.5-6.1</f>
        <v>102.4</v>
      </c>
      <c r="E65" s="46"/>
      <c r="F65" s="26"/>
      <c r="G65" s="26"/>
      <c r="H65" s="26"/>
      <c r="I65" s="26"/>
      <c r="J65" s="26"/>
      <c r="K65" s="26"/>
      <c r="L65" s="26"/>
      <c r="M65" s="26"/>
      <c r="N65" s="26">
        <f t="shared" si="5"/>
        <v>102.4</v>
      </c>
      <c r="O65" s="23"/>
    </row>
    <row r="66" spans="1:15" ht="21" customHeight="1">
      <c r="A66" s="65"/>
      <c r="B66" s="39"/>
      <c r="C66" s="7" t="s">
        <v>9</v>
      </c>
      <c r="D66" s="29">
        <f>D48+D59+D58</f>
        <v>49391.034</v>
      </c>
      <c r="E66" s="29">
        <f>E48+E60</f>
        <v>30250.019999999997</v>
      </c>
      <c r="F66" s="29">
        <f>F48+F60</f>
        <v>4662.725</v>
      </c>
      <c r="G66" s="29">
        <f>H66+K66</f>
        <v>142.851</v>
      </c>
      <c r="H66" s="29">
        <f>H48+H61</f>
        <v>25.7</v>
      </c>
      <c r="I66" s="21"/>
      <c r="J66" s="21"/>
      <c r="K66" s="29">
        <f>K48+K61</f>
        <v>117.15100000000001</v>
      </c>
      <c r="L66" s="29">
        <f>L48+L61</f>
        <v>117.15100000000001</v>
      </c>
      <c r="M66" s="29">
        <f>M48+M61</f>
        <v>113.285</v>
      </c>
      <c r="N66" s="29">
        <f>SUM(D66,G66)</f>
        <v>49533.885</v>
      </c>
      <c r="O66" s="23"/>
    </row>
    <row r="67" spans="1:15" ht="35.25" customHeight="1">
      <c r="A67" s="65" t="s">
        <v>247</v>
      </c>
      <c r="B67" s="39"/>
      <c r="C67" s="16" t="s">
        <v>117</v>
      </c>
      <c r="D67" s="26"/>
      <c r="E67" s="26"/>
      <c r="F67" s="26"/>
      <c r="G67" s="26"/>
      <c r="H67" s="26"/>
      <c r="I67" s="26"/>
      <c r="J67" s="26"/>
      <c r="K67" s="26"/>
      <c r="L67" s="26"/>
      <c r="M67" s="26"/>
      <c r="N67" s="26"/>
      <c r="O67" s="23"/>
    </row>
    <row r="68" spans="1:15" ht="35.25" customHeight="1">
      <c r="A68" s="65" t="s">
        <v>258</v>
      </c>
      <c r="B68" s="39"/>
      <c r="C68" s="16" t="s">
        <v>117</v>
      </c>
      <c r="D68" s="26"/>
      <c r="E68" s="26"/>
      <c r="F68" s="26"/>
      <c r="G68" s="26"/>
      <c r="H68" s="26"/>
      <c r="I68" s="26"/>
      <c r="J68" s="26"/>
      <c r="K68" s="26"/>
      <c r="L68" s="26"/>
      <c r="M68" s="26"/>
      <c r="N68" s="26"/>
      <c r="O68" s="23"/>
    </row>
    <row r="69" spans="1:15" ht="15.75">
      <c r="A69" s="65" t="s">
        <v>261</v>
      </c>
      <c r="B69" s="53" t="s">
        <v>29</v>
      </c>
      <c r="C69" s="7" t="s">
        <v>8</v>
      </c>
      <c r="D69" s="29">
        <f>D71+D72+D74+D75+D76+D77+D80+D81+D83+D84+D85+D86+D88+D89+D90+D94+D95+D96+D97+D98+D99+D100+D101+D102+D103+D104+D105+D107+D108+D110+D112+D114+D115+D116+D119+D120+D122</f>
        <v>67155.888</v>
      </c>
      <c r="E69" s="29">
        <f>E71+E72+E74+E75+E76+E77+E80+E81+E83+E84+E85+E86+E88+E89+E90+E94+E95+E96+E97+E98+E99+E100+E101+E102+E103+E104+E105+E107+E108+E110+E112+E114+E115+E116+E119+E120+E122</f>
        <v>2492.7880000000005</v>
      </c>
      <c r="F69" s="29">
        <f>F71+F72+F74+F75+F76+F77+F80+F81+F83+F84+F85+F86+F88+F89+F90+F94+F95+F96+F97+F98+F99+F100+F101+F102+F103+F104+F105+F107+F108+F110+F112+F114+F115+F116+F119+F120+F122</f>
        <v>120.32300000000001</v>
      </c>
      <c r="G69" s="29">
        <f>H69+K69</f>
        <v>206</v>
      </c>
      <c r="H69" s="29">
        <f aca="true" t="shared" si="6" ref="H69:M69">H71+H72+H74+H75+H76+H77+H80+H81+H83+H84+H85+H86+H88+H89+H90+H94+H95+H96+H97+H98+H99+H100+H101+H102+H103+H104+H105+H107+H108+H110+H112+H114+H115+H116+H119+H120+H122</f>
        <v>206</v>
      </c>
      <c r="I69" s="29">
        <f t="shared" si="6"/>
        <v>13.5</v>
      </c>
      <c r="J69" s="29">
        <f t="shared" si="6"/>
        <v>0</v>
      </c>
      <c r="K69" s="29">
        <f t="shared" si="6"/>
        <v>0</v>
      </c>
      <c r="L69" s="29">
        <f t="shared" si="6"/>
        <v>0</v>
      </c>
      <c r="M69" s="29">
        <f t="shared" si="6"/>
        <v>0</v>
      </c>
      <c r="N69" s="29">
        <f>SUM(D69,G69)</f>
        <v>67361.888</v>
      </c>
      <c r="O69" s="23"/>
    </row>
    <row r="70" spans="1:15" ht="63">
      <c r="A70" s="65" t="s">
        <v>273</v>
      </c>
      <c r="B70" s="53"/>
      <c r="C70" s="8" t="s">
        <v>274</v>
      </c>
      <c r="D70" s="26">
        <f>D71+D72+D74+D75+D76+D77+D78</f>
        <v>4903.299999999999</v>
      </c>
      <c r="E70" s="29"/>
      <c r="F70" s="29"/>
      <c r="G70" s="29"/>
      <c r="H70" s="29"/>
      <c r="I70" s="29"/>
      <c r="J70" s="29"/>
      <c r="K70" s="29"/>
      <c r="L70" s="29"/>
      <c r="M70" s="29"/>
      <c r="N70" s="26">
        <f>SUM(D70,G70)</f>
        <v>4903.299999999999</v>
      </c>
      <c r="O70" s="23"/>
    </row>
    <row r="71" spans="1:15" ht="201.75" customHeight="1">
      <c r="A71" s="65" t="s">
        <v>160</v>
      </c>
      <c r="B71" s="39" t="s">
        <v>45</v>
      </c>
      <c r="C71" s="17" t="s">
        <v>161</v>
      </c>
      <c r="D71" s="26">
        <f>2319.324+539.475-200</f>
        <v>2658.799</v>
      </c>
      <c r="E71" s="26"/>
      <c r="F71" s="26"/>
      <c r="G71" s="21"/>
      <c r="H71" s="26"/>
      <c r="I71" s="26"/>
      <c r="J71" s="26"/>
      <c r="K71" s="26"/>
      <c r="L71" s="26"/>
      <c r="M71" s="26"/>
      <c r="N71" s="57">
        <f>SUM(D71,G71)</f>
        <v>2658.799</v>
      </c>
      <c r="O71" s="23"/>
    </row>
    <row r="72" spans="1:15" ht="348.75" customHeight="1">
      <c r="A72" s="65" t="s">
        <v>164</v>
      </c>
      <c r="B72" s="39" t="s">
        <v>48</v>
      </c>
      <c r="C72" s="17" t="s">
        <v>86</v>
      </c>
      <c r="D72" s="26">
        <f>137.465+31.974</f>
        <v>169.439</v>
      </c>
      <c r="E72" s="26"/>
      <c r="F72" s="26"/>
      <c r="G72" s="21"/>
      <c r="H72" s="26"/>
      <c r="I72" s="26"/>
      <c r="J72" s="26"/>
      <c r="K72" s="26"/>
      <c r="L72" s="26"/>
      <c r="M72" s="26"/>
      <c r="N72" s="57">
        <f>G72+D72</f>
        <v>169.439</v>
      </c>
      <c r="O72" s="23"/>
    </row>
    <row r="73" spans="1:15" ht="245.25" customHeight="1">
      <c r="A73" s="65"/>
      <c r="B73" s="39"/>
      <c r="C73" s="37" t="s">
        <v>163</v>
      </c>
      <c r="D73" s="26"/>
      <c r="E73" s="26"/>
      <c r="F73" s="26"/>
      <c r="G73" s="21"/>
      <c r="H73" s="26"/>
      <c r="I73" s="26"/>
      <c r="J73" s="26"/>
      <c r="K73" s="26"/>
      <c r="L73" s="26"/>
      <c r="M73" s="26"/>
      <c r="N73" s="26"/>
      <c r="O73" s="23"/>
    </row>
    <row r="74" spans="1:15" ht="87" customHeight="1">
      <c r="A74" s="65" t="s">
        <v>171</v>
      </c>
      <c r="B74" s="39" t="s">
        <v>50</v>
      </c>
      <c r="C74" s="17" t="s">
        <v>172</v>
      </c>
      <c r="D74" s="26">
        <f>55.722+12.961</f>
        <v>68.683</v>
      </c>
      <c r="E74" s="26"/>
      <c r="F74" s="26"/>
      <c r="G74" s="21"/>
      <c r="H74" s="26"/>
      <c r="I74" s="26"/>
      <c r="J74" s="26"/>
      <c r="K74" s="26"/>
      <c r="L74" s="26"/>
      <c r="M74" s="26"/>
      <c r="N74" s="57">
        <f aca="true" t="shared" si="7" ref="N74:N81">SUM(D74,G74)</f>
        <v>68.683</v>
      </c>
      <c r="O74" s="23"/>
    </row>
    <row r="75" spans="1:15" ht="165.75" customHeight="1">
      <c r="A75" s="65" t="s">
        <v>177</v>
      </c>
      <c r="B75" s="39" t="s">
        <v>53</v>
      </c>
      <c r="C75" s="17" t="s">
        <v>178</v>
      </c>
      <c r="D75" s="26">
        <f>363.883+84.639</f>
        <v>448.522</v>
      </c>
      <c r="E75" s="26"/>
      <c r="F75" s="26"/>
      <c r="G75" s="21"/>
      <c r="H75" s="26"/>
      <c r="I75" s="26"/>
      <c r="J75" s="26"/>
      <c r="K75" s="26"/>
      <c r="L75" s="26"/>
      <c r="M75" s="26"/>
      <c r="N75" s="57">
        <f t="shared" si="7"/>
        <v>448.522</v>
      </c>
      <c r="O75" s="23"/>
    </row>
    <row r="76" spans="1:15" ht="42" customHeight="1">
      <c r="A76" s="65" t="s">
        <v>186</v>
      </c>
      <c r="B76" s="39" t="s">
        <v>87</v>
      </c>
      <c r="C76" s="17" t="s">
        <v>181</v>
      </c>
      <c r="D76" s="26">
        <f>590.178+137.293-50</f>
        <v>677.471</v>
      </c>
      <c r="E76" s="26"/>
      <c r="F76" s="26"/>
      <c r="G76" s="26"/>
      <c r="H76" s="26"/>
      <c r="I76" s="26"/>
      <c r="J76" s="26"/>
      <c r="K76" s="26"/>
      <c r="L76" s="26"/>
      <c r="M76" s="26"/>
      <c r="N76" s="57">
        <f t="shared" si="7"/>
        <v>677.471</v>
      </c>
      <c r="O76" s="23"/>
    </row>
    <row r="77" spans="1:15" ht="40.5" customHeight="1">
      <c r="A77" s="65" t="s">
        <v>205</v>
      </c>
      <c r="B77" s="39" t="s">
        <v>64</v>
      </c>
      <c r="C77" s="17" t="s">
        <v>206</v>
      </c>
      <c r="D77" s="26">
        <f>511.428+118.958-50</f>
        <v>580.386</v>
      </c>
      <c r="E77" s="26"/>
      <c r="F77" s="26"/>
      <c r="G77" s="21"/>
      <c r="H77" s="26"/>
      <c r="I77" s="26"/>
      <c r="J77" s="26"/>
      <c r="K77" s="26"/>
      <c r="L77" s="26"/>
      <c r="M77" s="26"/>
      <c r="N77" s="26">
        <f t="shared" si="7"/>
        <v>580.386</v>
      </c>
      <c r="O77" s="23"/>
    </row>
    <row r="78" spans="1:15" ht="68.25" customHeight="1">
      <c r="A78" s="65" t="s">
        <v>327</v>
      </c>
      <c r="B78" s="39" t="s">
        <v>328</v>
      </c>
      <c r="C78" s="17" t="s">
        <v>329</v>
      </c>
      <c r="D78" s="26">
        <v>300</v>
      </c>
      <c r="E78" s="26"/>
      <c r="F78" s="26"/>
      <c r="G78" s="21"/>
      <c r="H78" s="26"/>
      <c r="I78" s="26"/>
      <c r="J78" s="26"/>
      <c r="K78" s="26"/>
      <c r="L78" s="26"/>
      <c r="M78" s="26"/>
      <c r="N78" s="26"/>
      <c r="O78" s="23"/>
    </row>
    <row r="79" spans="1:15" ht="42" customHeight="1">
      <c r="A79" s="65" t="s">
        <v>275</v>
      </c>
      <c r="B79" s="39"/>
      <c r="C79" s="17" t="s">
        <v>289</v>
      </c>
      <c r="D79" s="26">
        <f>D80+D81+D83+D84+D85+D86</f>
        <v>646.1</v>
      </c>
      <c r="E79" s="26"/>
      <c r="F79" s="26"/>
      <c r="G79" s="21"/>
      <c r="H79" s="26"/>
      <c r="I79" s="26"/>
      <c r="J79" s="26"/>
      <c r="K79" s="26"/>
      <c r="L79" s="26"/>
      <c r="M79" s="26"/>
      <c r="N79" s="26">
        <f t="shared" si="7"/>
        <v>646.1</v>
      </c>
      <c r="O79" s="23"/>
    </row>
    <row r="80" spans="1:15" ht="180.75" customHeight="1">
      <c r="A80" s="65" t="s">
        <v>162</v>
      </c>
      <c r="B80" s="39" t="s">
        <v>46</v>
      </c>
      <c r="C80" s="17" t="s">
        <v>165</v>
      </c>
      <c r="D80" s="57">
        <f>152.419-3.595-15.85098</f>
        <v>132.97302000000002</v>
      </c>
      <c r="E80" s="26"/>
      <c r="F80" s="26"/>
      <c r="G80" s="21"/>
      <c r="H80" s="26"/>
      <c r="I80" s="26"/>
      <c r="J80" s="26"/>
      <c r="K80" s="26"/>
      <c r="L80" s="26"/>
      <c r="M80" s="26"/>
      <c r="N80" s="57">
        <f t="shared" si="7"/>
        <v>132.97302000000002</v>
      </c>
      <c r="O80" s="23"/>
    </row>
    <row r="81" spans="1:15" ht="303.75" customHeight="1">
      <c r="A81" s="65" t="s">
        <v>168</v>
      </c>
      <c r="B81" s="39" t="s">
        <v>49</v>
      </c>
      <c r="C81" s="77" t="s">
        <v>169</v>
      </c>
      <c r="D81" s="57">
        <f>2.143+0.01348</f>
        <v>2.1564799999999997</v>
      </c>
      <c r="E81" s="26"/>
      <c r="F81" s="26"/>
      <c r="G81" s="21"/>
      <c r="H81" s="26"/>
      <c r="I81" s="26"/>
      <c r="J81" s="26"/>
      <c r="K81" s="26"/>
      <c r="L81" s="26"/>
      <c r="M81" s="26"/>
      <c r="N81" s="57">
        <f t="shared" si="7"/>
        <v>2.1564799999999997</v>
      </c>
      <c r="O81" s="23"/>
    </row>
    <row r="82" spans="1:15" ht="71.25" customHeight="1">
      <c r="A82" s="65"/>
      <c r="B82" s="39"/>
      <c r="C82" s="17" t="s">
        <v>170</v>
      </c>
      <c r="D82" s="26"/>
      <c r="E82" s="26"/>
      <c r="F82" s="26"/>
      <c r="G82" s="21"/>
      <c r="H82" s="26"/>
      <c r="I82" s="26"/>
      <c r="J82" s="26"/>
      <c r="K82" s="26"/>
      <c r="L82" s="26"/>
      <c r="M82" s="26"/>
      <c r="N82" s="26"/>
      <c r="O82" s="23"/>
    </row>
    <row r="83" spans="1:15" ht="84.75" customHeight="1">
      <c r="A83" s="65" t="s">
        <v>173</v>
      </c>
      <c r="B83" s="39" t="s">
        <v>51</v>
      </c>
      <c r="C83" s="17" t="s">
        <v>174</v>
      </c>
      <c r="D83" s="95">
        <f>2.143-0.52564</f>
        <v>1.6173599999999997</v>
      </c>
      <c r="E83" s="26"/>
      <c r="F83" s="26"/>
      <c r="G83" s="21"/>
      <c r="H83" s="26"/>
      <c r="I83" s="26"/>
      <c r="J83" s="26"/>
      <c r="K83" s="26"/>
      <c r="L83" s="26"/>
      <c r="M83" s="26"/>
      <c r="N83" s="57">
        <f aca="true" t="shared" si="8" ref="N83:N88">SUM(D83,G83)</f>
        <v>1.6173599999999997</v>
      </c>
      <c r="O83" s="23"/>
    </row>
    <row r="84" spans="1:15" ht="164.25" customHeight="1">
      <c r="A84" s="65" t="s">
        <v>182</v>
      </c>
      <c r="B84" s="39" t="s">
        <v>54</v>
      </c>
      <c r="C84" s="17" t="s">
        <v>179</v>
      </c>
      <c r="D84" s="57">
        <f>67.652+11.05879</f>
        <v>78.71079</v>
      </c>
      <c r="E84" s="26"/>
      <c r="F84" s="26"/>
      <c r="G84" s="21"/>
      <c r="H84" s="26"/>
      <c r="I84" s="26"/>
      <c r="J84" s="26"/>
      <c r="K84" s="26"/>
      <c r="L84" s="26"/>
      <c r="M84" s="26"/>
      <c r="N84" s="57">
        <f t="shared" si="8"/>
        <v>78.71079</v>
      </c>
      <c r="O84" s="23"/>
    </row>
    <row r="85" spans="1:15" ht="40.5" customHeight="1">
      <c r="A85" s="65" t="s">
        <v>187</v>
      </c>
      <c r="B85" s="39" t="s">
        <v>88</v>
      </c>
      <c r="C85" s="17" t="s">
        <v>188</v>
      </c>
      <c r="D85" s="57">
        <f>113.808+4.10716+4.79219</f>
        <v>122.70735000000002</v>
      </c>
      <c r="E85" s="26"/>
      <c r="F85" s="26"/>
      <c r="G85" s="26"/>
      <c r="H85" s="26"/>
      <c r="I85" s="26"/>
      <c r="J85" s="26"/>
      <c r="K85" s="26"/>
      <c r="L85" s="26"/>
      <c r="M85" s="26"/>
      <c r="N85" s="57">
        <f t="shared" si="8"/>
        <v>122.70735000000002</v>
      </c>
      <c r="O85" s="26">
        <f>SUM(E85,H85)</f>
        <v>0</v>
      </c>
    </row>
    <row r="86" spans="1:15" ht="52.5" customHeight="1">
      <c r="A86" s="65" t="s">
        <v>207</v>
      </c>
      <c r="B86" s="39" t="s">
        <v>81</v>
      </c>
      <c r="C86" s="17" t="s">
        <v>208</v>
      </c>
      <c r="D86" s="26">
        <v>307.935</v>
      </c>
      <c r="E86" s="26"/>
      <c r="F86" s="26"/>
      <c r="G86" s="26"/>
      <c r="H86" s="26"/>
      <c r="I86" s="26"/>
      <c r="J86" s="26"/>
      <c r="K86" s="26"/>
      <c r="L86" s="26"/>
      <c r="M86" s="26"/>
      <c r="N86" s="26">
        <f t="shared" si="8"/>
        <v>307.935</v>
      </c>
      <c r="O86" s="26"/>
    </row>
    <row r="87" spans="1:15" ht="165.75" customHeight="1">
      <c r="A87" s="65" t="s">
        <v>276</v>
      </c>
      <c r="B87" s="39"/>
      <c r="C87" s="37" t="s">
        <v>277</v>
      </c>
      <c r="D87" s="26">
        <f>D88+D89+D90+D91+D92</f>
        <v>278.8</v>
      </c>
      <c r="E87" s="26"/>
      <c r="F87" s="26"/>
      <c r="G87" s="26"/>
      <c r="H87" s="26"/>
      <c r="I87" s="26"/>
      <c r="J87" s="26"/>
      <c r="K87" s="26"/>
      <c r="L87" s="26"/>
      <c r="M87" s="26"/>
      <c r="N87" s="26">
        <f t="shared" si="8"/>
        <v>278.8</v>
      </c>
      <c r="O87" s="26"/>
    </row>
    <row r="88" spans="1:15" ht="196.5" customHeight="1">
      <c r="A88" s="65" t="s">
        <v>166</v>
      </c>
      <c r="B88" s="39" t="s">
        <v>47</v>
      </c>
      <c r="C88" s="17" t="s">
        <v>167</v>
      </c>
      <c r="D88" s="26">
        <f>24.1-2.525</f>
        <v>21.575000000000003</v>
      </c>
      <c r="E88" s="26"/>
      <c r="F88" s="26"/>
      <c r="G88" s="46"/>
      <c r="H88" s="26"/>
      <c r="I88" s="26"/>
      <c r="J88" s="26"/>
      <c r="K88" s="26"/>
      <c r="L88" s="26"/>
      <c r="M88" s="26"/>
      <c r="N88" s="26">
        <f t="shared" si="8"/>
        <v>21.575000000000003</v>
      </c>
      <c r="O88" s="23"/>
    </row>
    <row r="89" spans="1:15" ht="69" customHeight="1">
      <c r="A89" s="65" t="s">
        <v>175</v>
      </c>
      <c r="B89" s="39" t="s">
        <v>52</v>
      </c>
      <c r="C89" s="17" t="s">
        <v>176</v>
      </c>
      <c r="D89" s="26">
        <v>1.4</v>
      </c>
      <c r="E89" s="26"/>
      <c r="F89" s="26"/>
      <c r="G89" s="21"/>
      <c r="H89" s="26"/>
      <c r="I89" s="26"/>
      <c r="J89" s="26"/>
      <c r="K89" s="26"/>
      <c r="L89" s="26"/>
      <c r="M89" s="26"/>
      <c r="N89" s="26">
        <f aca="true" t="shared" si="9" ref="N89:N101">SUM(D89,G89)</f>
        <v>1.4</v>
      </c>
      <c r="O89" s="23"/>
    </row>
    <row r="90" spans="1:15" ht="33.75" customHeight="1">
      <c r="A90" s="65" t="s">
        <v>185</v>
      </c>
      <c r="B90" s="39" t="s">
        <v>56</v>
      </c>
      <c r="C90" s="17" t="s">
        <v>180</v>
      </c>
      <c r="D90" s="26">
        <f>111.2-24.536</f>
        <v>86.664</v>
      </c>
      <c r="E90" s="26"/>
      <c r="F90" s="26"/>
      <c r="G90" s="26"/>
      <c r="H90" s="26"/>
      <c r="I90" s="26"/>
      <c r="J90" s="26"/>
      <c r="K90" s="26"/>
      <c r="L90" s="26"/>
      <c r="M90" s="26"/>
      <c r="N90" s="26">
        <f>SUM(D90,G90)</f>
        <v>86.664</v>
      </c>
      <c r="O90" s="23"/>
    </row>
    <row r="91" spans="1:15" ht="42" customHeight="1">
      <c r="A91" s="65" t="s">
        <v>227</v>
      </c>
      <c r="B91" s="39" t="s">
        <v>72</v>
      </c>
      <c r="C91" s="17" t="s">
        <v>228</v>
      </c>
      <c r="D91" s="26">
        <v>55</v>
      </c>
      <c r="E91" s="26"/>
      <c r="F91" s="26"/>
      <c r="G91" s="26"/>
      <c r="H91" s="26"/>
      <c r="I91" s="26"/>
      <c r="J91" s="26"/>
      <c r="K91" s="26"/>
      <c r="L91" s="26"/>
      <c r="M91" s="26"/>
      <c r="N91" s="26">
        <f>SUM(D91,G91)</f>
        <v>55</v>
      </c>
      <c r="O91" s="23"/>
    </row>
    <row r="92" spans="1:15" ht="42" customHeight="1">
      <c r="A92" s="65" t="s">
        <v>229</v>
      </c>
      <c r="B92" s="39" t="s">
        <v>73</v>
      </c>
      <c r="C92" s="17" t="s">
        <v>230</v>
      </c>
      <c r="D92" s="26">
        <f>87.1+27.061</f>
        <v>114.161</v>
      </c>
      <c r="E92" s="26"/>
      <c r="F92" s="26"/>
      <c r="G92" s="26"/>
      <c r="H92" s="26"/>
      <c r="I92" s="26"/>
      <c r="J92" s="26"/>
      <c r="K92" s="26"/>
      <c r="L92" s="26"/>
      <c r="M92" s="26"/>
      <c r="N92" s="26">
        <f>SUM(D92,G92)</f>
        <v>114.161</v>
      </c>
      <c r="O92" s="23"/>
    </row>
    <row r="93" spans="1:15" ht="53.25" customHeight="1">
      <c r="A93" s="65" t="s">
        <v>278</v>
      </c>
      <c r="B93" s="39"/>
      <c r="C93" s="17" t="s">
        <v>279</v>
      </c>
      <c r="D93" s="26">
        <f>D94+D95+D96+D97+D98+D99+D100+D101+D102</f>
        <v>56502.600000000006</v>
      </c>
      <c r="E93" s="26"/>
      <c r="F93" s="26"/>
      <c r="G93" s="26"/>
      <c r="H93" s="26"/>
      <c r="I93" s="26"/>
      <c r="J93" s="26"/>
      <c r="K93" s="26"/>
      <c r="L93" s="26"/>
      <c r="M93" s="26"/>
      <c r="N93" s="26">
        <f>SUM(D93,G93)</f>
        <v>56502.600000000006</v>
      </c>
      <c r="O93" s="23"/>
    </row>
    <row r="94" spans="1:15" ht="22.5" customHeight="1">
      <c r="A94" s="65" t="s">
        <v>189</v>
      </c>
      <c r="B94" s="39" t="s">
        <v>57</v>
      </c>
      <c r="C94" s="17" t="s">
        <v>190</v>
      </c>
      <c r="D94" s="26">
        <f>579.916-100</f>
        <v>479.91600000000005</v>
      </c>
      <c r="E94" s="26"/>
      <c r="F94" s="26"/>
      <c r="G94" s="26"/>
      <c r="H94" s="26"/>
      <c r="I94" s="26"/>
      <c r="J94" s="26"/>
      <c r="K94" s="26"/>
      <c r="L94" s="26"/>
      <c r="M94" s="26"/>
      <c r="N94" s="26">
        <f t="shared" si="9"/>
        <v>479.91600000000005</v>
      </c>
      <c r="O94" s="23"/>
    </row>
    <row r="95" spans="1:15" ht="30.75" customHeight="1">
      <c r="A95" s="65" t="s">
        <v>191</v>
      </c>
      <c r="B95" s="39" t="s">
        <v>58</v>
      </c>
      <c r="C95" s="17" t="s">
        <v>192</v>
      </c>
      <c r="D95" s="26">
        <f>8943.791-1600-3138</f>
        <v>4205.790999999999</v>
      </c>
      <c r="E95" s="26"/>
      <c r="F95" s="26"/>
      <c r="G95" s="26"/>
      <c r="H95" s="26"/>
      <c r="I95" s="26"/>
      <c r="J95" s="26"/>
      <c r="K95" s="26"/>
      <c r="L95" s="26"/>
      <c r="M95" s="26"/>
      <c r="N95" s="26">
        <f t="shared" si="9"/>
        <v>4205.790999999999</v>
      </c>
      <c r="O95" s="23"/>
    </row>
    <row r="96" spans="1:15" ht="21" customHeight="1">
      <c r="A96" s="65" t="s">
        <v>193</v>
      </c>
      <c r="B96" s="39" t="s">
        <v>59</v>
      </c>
      <c r="C96" s="17" t="s">
        <v>194</v>
      </c>
      <c r="D96" s="26">
        <f>22408.925-3500+1026</f>
        <v>19934.925</v>
      </c>
      <c r="E96" s="26"/>
      <c r="F96" s="26"/>
      <c r="G96" s="26"/>
      <c r="H96" s="26"/>
      <c r="I96" s="26"/>
      <c r="J96" s="26"/>
      <c r="K96" s="26"/>
      <c r="L96" s="26"/>
      <c r="M96" s="26"/>
      <c r="N96" s="26">
        <f t="shared" si="9"/>
        <v>19934.925</v>
      </c>
      <c r="O96" s="23"/>
    </row>
    <row r="97" spans="1:15" ht="33" customHeight="1">
      <c r="A97" s="65" t="s">
        <v>195</v>
      </c>
      <c r="B97" s="39" t="s">
        <v>60</v>
      </c>
      <c r="C97" s="30" t="s">
        <v>196</v>
      </c>
      <c r="D97" s="26">
        <v>3297.612</v>
      </c>
      <c r="E97" s="26"/>
      <c r="F97" s="26"/>
      <c r="G97" s="26"/>
      <c r="H97" s="26"/>
      <c r="I97" s="26"/>
      <c r="J97" s="26"/>
      <c r="K97" s="26"/>
      <c r="L97" s="26"/>
      <c r="M97" s="26"/>
      <c r="N97" s="26">
        <f t="shared" si="9"/>
        <v>3297.612</v>
      </c>
      <c r="O97" s="23"/>
    </row>
    <row r="98" spans="1:15" ht="19.5" customHeight="1">
      <c r="A98" s="65" t="s">
        <v>197</v>
      </c>
      <c r="B98" s="39" t="s">
        <v>61</v>
      </c>
      <c r="C98" s="17" t="s">
        <v>198</v>
      </c>
      <c r="D98" s="26">
        <f>7721.142-50-200</f>
        <v>7471.142</v>
      </c>
      <c r="E98" s="26"/>
      <c r="F98" s="26"/>
      <c r="G98" s="26"/>
      <c r="H98" s="26"/>
      <c r="I98" s="26"/>
      <c r="J98" s="26"/>
      <c r="K98" s="26"/>
      <c r="L98" s="26"/>
      <c r="M98" s="26"/>
      <c r="N98" s="26">
        <f t="shared" si="9"/>
        <v>7471.142</v>
      </c>
      <c r="O98" s="23"/>
    </row>
    <row r="99" spans="1:15" ht="23.25" customHeight="1">
      <c r="A99" s="65" t="s">
        <v>199</v>
      </c>
      <c r="B99" s="39" t="s">
        <v>62</v>
      </c>
      <c r="C99" s="17" t="s">
        <v>200</v>
      </c>
      <c r="D99" s="26">
        <f>970.9-100</f>
        <v>870.9</v>
      </c>
      <c r="E99" s="26"/>
      <c r="F99" s="26"/>
      <c r="G99" s="26"/>
      <c r="H99" s="26"/>
      <c r="I99" s="26"/>
      <c r="J99" s="26"/>
      <c r="K99" s="26"/>
      <c r="L99" s="26"/>
      <c r="M99" s="26"/>
      <c r="N99" s="26">
        <f t="shared" si="9"/>
        <v>870.9</v>
      </c>
      <c r="O99" s="23"/>
    </row>
    <row r="100" spans="1:15" ht="20.25" customHeight="1">
      <c r="A100" s="65" t="s">
        <v>201</v>
      </c>
      <c r="B100" s="39" t="s">
        <v>84</v>
      </c>
      <c r="C100" s="17" t="s">
        <v>202</v>
      </c>
      <c r="D100" s="26">
        <v>65.114</v>
      </c>
      <c r="E100" s="26"/>
      <c r="F100" s="26"/>
      <c r="G100" s="26"/>
      <c r="H100" s="26"/>
      <c r="I100" s="26"/>
      <c r="J100" s="26"/>
      <c r="K100" s="26"/>
      <c r="L100" s="26"/>
      <c r="M100" s="26"/>
      <c r="N100" s="26">
        <f t="shared" si="9"/>
        <v>65.114</v>
      </c>
      <c r="O100" s="23"/>
    </row>
    <row r="101" spans="1:15" ht="30.75" customHeight="1">
      <c r="A101" s="65" t="s">
        <v>203</v>
      </c>
      <c r="B101" s="39" t="s">
        <v>63</v>
      </c>
      <c r="C101" s="17" t="s">
        <v>204</v>
      </c>
      <c r="D101" s="26">
        <f>10750.7+2312</f>
        <v>13062.7</v>
      </c>
      <c r="E101" s="26"/>
      <c r="F101" s="26"/>
      <c r="G101" s="26"/>
      <c r="H101" s="26"/>
      <c r="I101" s="26"/>
      <c r="J101" s="26"/>
      <c r="K101" s="26"/>
      <c r="L101" s="26"/>
      <c r="M101" s="26"/>
      <c r="N101" s="26">
        <f t="shared" si="9"/>
        <v>13062.7</v>
      </c>
      <c r="O101" s="23"/>
    </row>
    <row r="102" spans="1:15" ht="35.25" customHeight="1">
      <c r="A102" s="65" t="s">
        <v>221</v>
      </c>
      <c r="B102" s="39" t="s">
        <v>70</v>
      </c>
      <c r="C102" s="17" t="s">
        <v>222</v>
      </c>
      <c r="D102" s="26">
        <f>7273.7-159.2</f>
        <v>7114.5</v>
      </c>
      <c r="E102" s="26"/>
      <c r="F102" s="26"/>
      <c r="G102" s="26"/>
      <c r="H102" s="26"/>
      <c r="I102" s="26"/>
      <c r="J102" s="26"/>
      <c r="K102" s="26"/>
      <c r="L102" s="26"/>
      <c r="M102" s="26"/>
      <c r="N102" s="26">
        <f aca="true" t="shared" si="10" ref="N102:N108">SUM(D102,G102)</f>
        <v>7114.5</v>
      </c>
      <c r="O102" s="23"/>
    </row>
    <row r="103" spans="1:15" ht="35.25" customHeight="1">
      <c r="A103" s="65" t="s">
        <v>183</v>
      </c>
      <c r="B103" s="39" t="s">
        <v>55</v>
      </c>
      <c r="C103" s="17" t="s">
        <v>184</v>
      </c>
      <c r="D103" s="26">
        <v>56.9</v>
      </c>
      <c r="E103" s="26"/>
      <c r="F103" s="26"/>
      <c r="G103" s="21"/>
      <c r="H103" s="26"/>
      <c r="I103" s="26"/>
      <c r="J103" s="26"/>
      <c r="K103" s="26"/>
      <c r="L103" s="26"/>
      <c r="M103" s="26"/>
      <c r="N103" s="26">
        <f t="shared" si="10"/>
        <v>56.9</v>
      </c>
      <c r="O103" s="23"/>
    </row>
    <row r="104" spans="1:15" ht="35.25" customHeight="1">
      <c r="A104" s="65" t="s">
        <v>213</v>
      </c>
      <c r="B104" s="39" t="s">
        <v>68</v>
      </c>
      <c r="C104" s="17" t="s">
        <v>214</v>
      </c>
      <c r="D104" s="26">
        <v>754.1</v>
      </c>
      <c r="E104" s="26"/>
      <c r="F104" s="26"/>
      <c r="G104" s="26"/>
      <c r="H104" s="26"/>
      <c r="I104" s="26"/>
      <c r="J104" s="26"/>
      <c r="K104" s="26"/>
      <c r="L104" s="26"/>
      <c r="M104" s="26"/>
      <c r="N104" s="26">
        <f t="shared" si="10"/>
        <v>754.1</v>
      </c>
      <c r="O104" s="23"/>
    </row>
    <row r="105" spans="1:15" ht="35.25" customHeight="1">
      <c r="A105" s="65" t="s">
        <v>211</v>
      </c>
      <c r="B105" s="39" t="s">
        <v>67</v>
      </c>
      <c r="C105" s="17" t="s">
        <v>212</v>
      </c>
      <c r="D105" s="26">
        <v>17.4</v>
      </c>
      <c r="E105" s="26"/>
      <c r="F105" s="26"/>
      <c r="G105" s="26"/>
      <c r="H105" s="26"/>
      <c r="I105" s="26"/>
      <c r="J105" s="26"/>
      <c r="K105" s="26"/>
      <c r="L105" s="26"/>
      <c r="M105" s="26"/>
      <c r="N105" s="26">
        <f t="shared" si="10"/>
        <v>17.4</v>
      </c>
      <c r="O105" s="23"/>
    </row>
    <row r="106" spans="1:15" ht="59.25" customHeight="1">
      <c r="A106" s="65" t="s">
        <v>280</v>
      </c>
      <c r="B106" s="39"/>
      <c r="C106" s="17" t="s">
        <v>281</v>
      </c>
      <c r="D106" s="26">
        <f>D107+D108</f>
        <v>3686.8</v>
      </c>
      <c r="E106" s="26">
        <f aca="true" t="shared" si="11" ref="E106:M106">E107+E108</f>
        <v>2305.309</v>
      </c>
      <c r="F106" s="26">
        <f t="shared" si="11"/>
        <v>114.5</v>
      </c>
      <c r="G106" s="26">
        <f t="shared" si="11"/>
        <v>206</v>
      </c>
      <c r="H106" s="26">
        <f t="shared" si="11"/>
        <v>206</v>
      </c>
      <c r="I106" s="26">
        <f t="shared" si="11"/>
        <v>13.5</v>
      </c>
      <c r="J106" s="26"/>
      <c r="K106" s="26">
        <f t="shared" si="11"/>
        <v>0</v>
      </c>
      <c r="L106" s="26">
        <f t="shared" si="11"/>
        <v>0</v>
      </c>
      <c r="M106" s="26">
        <f t="shared" si="11"/>
        <v>0</v>
      </c>
      <c r="N106" s="26">
        <f t="shared" si="10"/>
        <v>3892.8</v>
      </c>
      <c r="O106" s="23"/>
    </row>
    <row r="107" spans="1:15" ht="57" customHeight="1">
      <c r="A107" s="65" t="s">
        <v>259</v>
      </c>
      <c r="B107" s="39" t="s">
        <v>69</v>
      </c>
      <c r="C107" s="17" t="s">
        <v>215</v>
      </c>
      <c r="D107" s="26">
        <f>3361.136+57.554-76.33+6.47-14-0.9+35.9</f>
        <v>3369.83</v>
      </c>
      <c r="E107" s="26">
        <f>2133.8-52+52.439</f>
        <v>2134.239</v>
      </c>
      <c r="F107" s="26">
        <f>107.3+6.47-10</f>
        <v>103.77</v>
      </c>
      <c r="G107" s="26">
        <f>H107+K107</f>
        <v>206</v>
      </c>
      <c r="H107" s="26">
        <v>206</v>
      </c>
      <c r="I107" s="26">
        <v>13.5</v>
      </c>
      <c r="J107" s="26"/>
      <c r="K107" s="26"/>
      <c r="L107" s="26"/>
      <c r="M107" s="26"/>
      <c r="N107" s="26">
        <f t="shared" si="10"/>
        <v>3575.83</v>
      </c>
      <c r="O107" s="23"/>
    </row>
    <row r="108" spans="1:15" ht="27" customHeight="1">
      <c r="A108" s="65" t="s">
        <v>260</v>
      </c>
      <c r="B108" s="39" t="s">
        <v>102</v>
      </c>
      <c r="C108" s="17" t="s">
        <v>218</v>
      </c>
      <c r="D108" s="52">
        <f>317.8+7.04-10.9+3.03</f>
        <v>316.97</v>
      </c>
      <c r="E108" s="52">
        <f>180.9-8-1.83</f>
        <v>171.07</v>
      </c>
      <c r="F108" s="52">
        <f>5.2+3.03+2.5</f>
        <v>10.73</v>
      </c>
      <c r="G108" s="26"/>
      <c r="H108" s="26"/>
      <c r="I108" s="26"/>
      <c r="J108" s="26"/>
      <c r="K108" s="26"/>
      <c r="L108" s="26"/>
      <c r="M108" s="26"/>
      <c r="N108" s="26">
        <f t="shared" si="10"/>
        <v>316.97</v>
      </c>
      <c r="O108" s="23"/>
    </row>
    <row r="109" spans="1:15" ht="35.25" customHeight="1">
      <c r="A109" s="65" t="s">
        <v>282</v>
      </c>
      <c r="B109" s="39"/>
      <c r="C109" s="17" t="s">
        <v>283</v>
      </c>
      <c r="D109" s="52">
        <f>D110+D112</f>
        <v>276.3910000000001</v>
      </c>
      <c r="E109" s="52">
        <f aca="true" t="shared" si="12" ref="E109:M109">E110+E112</f>
        <v>187.47900000000004</v>
      </c>
      <c r="F109" s="52">
        <f t="shared" si="12"/>
        <v>5.823</v>
      </c>
      <c r="G109" s="52">
        <f t="shared" si="12"/>
        <v>0</v>
      </c>
      <c r="H109" s="52">
        <f t="shared" si="12"/>
        <v>0</v>
      </c>
      <c r="I109" s="52">
        <f t="shared" si="12"/>
        <v>0</v>
      </c>
      <c r="J109" s="52">
        <f t="shared" si="12"/>
        <v>0</v>
      </c>
      <c r="K109" s="52">
        <f t="shared" si="12"/>
        <v>0</v>
      </c>
      <c r="L109" s="52">
        <f t="shared" si="12"/>
        <v>0</v>
      </c>
      <c r="M109" s="52">
        <f t="shared" si="12"/>
        <v>0</v>
      </c>
      <c r="N109" s="52">
        <f>N110+N112</f>
        <v>276.3910000000001</v>
      </c>
      <c r="O109" s="23"/>
    </row>
    <row r="110" spans="1:15" ht="24" customHeight="1">
      <c r="A110" s="65" t="s">
        <v>255</v>
      </c>
      <c r="B110" s="56" t="s">
        <v>36</v>
      </c>
      <c r="C110" s="49" t="s">
        <v>139</v>
      </c>
      <c r="D110" s="46">
        <f>633.085+0.729-356.828-3.5</f>
        <v>273.4860000000001</v>
      </c>
      <c r="E110" s="46">
        <f>450.427-262.948</f>
        <v>187.47900000000004</v>
      </c>
      <c r="F110" s="46">
        <v>5.823</v>
      </c>
      <c r="G110" s="46">
        <f>H110+K110</f>
        <v>0</v>
      </c>
      <c r="H110" s="46"/>
      <c r="I110" s="46"/>
      <c r="J110" s="46"/>
      <c r="K110" s="46"/>
      <c r="L110" s="46"/>
      <c r="M110" s="46"/>
      <c r="N110" s="46">
        <f>SUM(D110,G110)</f>
        <v>273.4860000000001</v>
      </c>
      <c r="O110" s="23"/>
    </row>
    <row r="111" spans="1:15" ht="16.5" customHeight="1">
      <c r="A111" s="65"/>
      <c r="B111" s="42"/>
      <c r="C111" s="33"/>
      <c r="D111" s="26"/>
      <c r="E111" s="26"/>
      <c r="F111" s="26"/>
      <c r="G111" s="26"/>
      <c r="H111" s="26"/>
      <c r="I111" s="26"/>
      <c r="J111" s="26"/>
      <c r="K111" s="26"/>
      <c r="L111" s="26"/>
      <c r="M111" s="26"/>
      <c r="N111" s="26"/>
      <c r="O111" s="23"/>
    </row>
    <row r="112" spans="1:15" ht="31.5" customHeight="1">
      <c r="A112" s="65" t="s">
        <v>256</v>
      </c>
      <c r="B112" s="56" t="s">
        <v>105</v>
      </c>
      <c r="C112" s="55" t="s">
        <v>106</v>
      </c>
      <c r="D112" s="26">
        <f>2+0.905</f>
        <v>2.9050000000000002</v>
      </c>
      <c r="E112" s="26"/>
      <c r="F112" s="26"/>
      <c r="G112" s="26"/>
      <c r="H112" s="26"/>
      <c r="I112" s="26"/>
      <c r="J112" s="26"/>
      <c r="K112" s="26"/>
      <c r="L112" s="26"/>
      <c r="M112" s="26"/>
      <c r="N112" s="26">
        <f>SUM(D112,G112)</f>
        <v>2.9050000000000002</v>
      </c>
      <c r="O112" s="23"/>
    </row>
    <row r="113" spans="1:15" ht="75.75" customHeight="1">
      <c r="A113" s="65" t="s">
        <v>284</v>
      </c>
      <c r="B113" s="56"/>
      <c r="C113" s="78" t="s">
        <v>285</v>
      </c>
      <c r="D113" s="26">
        <f>D115+D116+D114</f>
        <v>221</v>
      </c>
      <c r="E113" s="26"/>
      <c r="F113" s="26"/>
      <c r="G113" s="26"/>
      <c r="H113" s="26"/>
      <c r="I113" s="26"/>
      <c r="J113" s="26"/>
      <c r="K113" s="26"/>
      <c r="L113" s="26"/>
      <c r="M113" s="26"/>
      <c r="N113" s="26">
        <f>SUM(D113,G113)</f>
        <v>221</v>
      </c>
      <c r="O113" s="23"/>
    </row>
    <row r="114" spans="1:15" ht="72.75" customHeight="1">
      <c r="A114" s="65" t="s">
        <v>216</v>
      </c>
      <c r="B114" s="39" t="s">
        <v>98</v>
      </c>
      <c r="C114" s="17" t="s">
        <v>217</v>
      </c>
      <c r="D114" s="26">
        <f>200+10</f>
        <v>210</v>
      </c>
      <c r="E114" s="26"/>
      <c r="F114" s="26"/>
      <c r="G114" s="26"/>
      <c r="H114" s="26"/>
      <c r="I114" s="26"/>
      <c r="J114" s="26"/>
      <c r="K114" s="26"/>
      <c r="L114" s="26"/>
      <c r="M114" s="26"/>
      <c r="N114" s="26">
        <f>SUM(D114,G114)</f>
        <v>210</v>
      </c>
      <c r="O114" s="23"/>
    </row>
    <row r="115" spans="1:15" ht="53.25" customHeight="1">
      <c r="A115" s="65" t="s">
        <v>223</v>
      </c>
      <c r="B115" s="39" t="s">
        <v>80</v>
      </c>
      <c r="C115" s="17" t="s">
        <v>224</v>
      </c>
      <c r="D115" s="26">
        <v>10.664</v>
      </c>
      <c r="E115" s="26"/>
      <c r="F115" s="26"/>
      <c r="G115" s="26"/>
      <c r="H115" s="26"/>
      <c r="I115" s="26"/>
      <c r="J115" s="26"/>
      <c r="K115" s="26"/>
      <c r="L115" s="26"/>
      <c r="M115" s="26"/>
      <c r="N115" s="26">
        <f>SUM(D115,G115)</f>
        <v>10.664</v>
      </c>
      <c r="O115" s="23"/>
    </row>
    <row r="116" spans="1:15" ht="25.5" customHeight="1">
      <c r="A116" s="65" t="s">
        <v>225</v>
      </c>
      <c r="B116" s="39" t="s">
        <v>71</v>
      </c>
      <c r="C116" s="17" t="s">
        <v>226</v>
      </c>
      <c r="D116" s="26">
        <v>0.336</v>
      </c>
      <c r="E116" s="26"/>
      <c r="F116" s="26"/>
      <c r="G116" s="26"/>
      <c r="H116" s="26"/>
      <c r="I116" s="26"/>
      <c r="J116" s="26"/>
      <c r="K116" s="26"/>
      <c r="L116" s="26"/>
      <c r="M116" s="26"/>
      <c r="N116" s="26">
        <f>SUM(D116,G116)</f>
        <v>0.336</v>
      </c>
      <c r="O116" s="23"/>
    </row>
    <row r="117" spans="1:15" ht="15" customHeight="1">
      <c r="A117" s="65"/>
      <c r="B117" s="39"/>
      <c r="C117" s="17"/>
      <c r="D117" s="26"/>
      <c r="E117" s="26"/>
      <c r="F117" s="26"/>
      <c r="G117" s="26"/>
      <c r="H117" s="26"/>
      <c r="I117" s="26"/>
      <c r="J117" s="26"/>
      <c r="K117" s="26"/>
      <c r="L117" s="26"/>
      <c r="M117" s="26"/>
      <c r="N117" s="26"/>
      <c r="O117" s="23"/>
    </row>
    <row r="118" spans="1:15" ht="30" customHeight="1">
      <c r="A118" s="65" t="s">
        <v>286</v>
      </c>
      <c r="B118" s="39"/>
      <c r="C118" s="17" t="s">
        <v>287</v>
      </c>
      <c r="D118" s="26">
        <f>D119+D120</f>
        <v>119.808</v>
      </c>
      <c r="E118" s="26"/>
      <c r="F118" s="26"/>
      <c r="G118" s="26"/>
      <c r="H118" s="26"/>
      <c r="I118" s="26"/>
      <c r="J118" s="26"/>
      <c r="K118" s="26"/>
      <c r="L118" s="26"/>
      <c r="M118" s="26"/>
      <c r="N118" s="26">
        <f>SUM(D118,G118)</f>
        <v>119.808</v>
      </c>
      <c r="O118" s="23"/>
    </row>
    <row r="119" spans="1:15" ht="30.75" customHeight="1">
      <c r="A119" s="65" t="s">
        <v>210</v>
      </c>
      <c r="B119" s="39" t="s">
        <v>82</v>
      </c>
      <c r="C119" s="34" t="s">
        <v>83</v>
      </c>
      <c r="D119" s="26">
        <f>55.956+0.952+10.9</f>
        <v>67.808</v>
      </c>
      <c r="E119" s="26"/>
      <c r="F119" s="26"/>
      <c r="G119" s="26"/>
      <c r="H119" s="26"/>
      <c r="I119" s="26"/>
      <c r="J119" s="26"/>
      <c r="K119" s="26"/>
      <c r="L119" s="26"/>
      <c r="M119" s="26"/>
      <c r="N119" s="26">
        <f>SUM(D119,G119)</f>
        <v>67.808</v>
      </c>
      <c r="O119" s="23"/>
    </row>
    <row r="120" spans="1:15" ht="57" customHeight="1">
      <c r="A120" s="65" t="s">
        <v>219</v>
      </c>
      <c r="B120" s="39" t="s">
        <v>77</v>
      </c>
      <c r="C120" s="17" t="s">
        <v>220</v>
      </c>
      <c r="D120" s="26">
        <v>52</v>
      </c>
      <c r="E120" s="26"/>
      <c r="F120" s="26"/>
      <c r="G120" s="26"/>
      <c r="H120" s="26"/>
      <c r="I120" s="26"/>
      <c r="J120" s="26"/>
      <c r="K120" s="26"/>
      <c r="L120" s="26"/>
      <c r="M120" s="26"/>
      <c r="N120" s="26">
        <f>SUM(D120,G120)</f>
        <v>52</v>
      </c>
      <c r="O120" s="23"/>
    </row>
    <row r="121" spans="1:15" ht="23.25" customHeight="1">
      <c r="A121" s="65" t="s">
        <v>288</v>
      </c>
      <c r="B121" s="39"/>
      <c r="C121" s="17" t="s">
        <v>66</v>
      </c>
      <c r="D121" s="26">
        <f>D122</f>
        <v>161.85</v>
      </c>
      <c r="E121" s="26"/>
      <c r="F121" s="26"/>
      <c r="G121" s="26"/>
      <c r="H121" s="26"/>
      <c r="I121" s="26"/>
      <c r="J121" s="26"/>
      <c r="K121" s="26"/>
      <c r="L121" s="26"/>
      <c r="M121" s="26"/>
      <c r="N121" s="26">
        <f>SUM(D121,G121)</f>
        <v>161.85</v>
      </c>
      <c r="O121" s="23"/>
    </row>
    <row r="122" spans="1:15" ht="20.25" customHeight="1">
      <c r="A122" s="65" t="s">
        <v>209</v>
      </c>
      <c r="B122" s="39" t="s">
        <v>65</v>
      </c>
      <c r="C122" s="17" t="s">
        <v>66</v>
      </c>
      <c r="D122" s="26">
        <f>70.4+90+1.45</f>
        <v>161.85</v>
      </c>
      <c r="E122" s="26"/>
      <c r="F122" s="26"/>
      <c r="G122" s="26"/>
      <c r="H122" s="26"/>
      <c r="I122" s="26"/>
      <c r="J122" s="26"/>
      <c r="K122" s="26"/>
      <c r="L122" s="26"/>
      <c r="M122" s="26"/>
      <c r="N122" s="26">
        <f>SUM(D122,G122)</f>
        <v>161.85</v>
      </c>
      <c r="O122" s="23"/>
    </row>
    <row r="123" ht="9.75" customHeight="1">
      <c r="O123" s="23"/>
    </row>
    <row r="124" spans="1:15" ht="51" customHeight="1">
      <c r="A124" s="65" t="s">
        <v>231</v>
      </c>
      <c r="B124" s="39" t="s">
        <v>74</v>
      </c>
      <c r="C124" s="17" t="s">
        <v>232</v>
      </c>
      <c r="D124" s="26">
        <f>491.5-23.7+14+0.9</f>
        <v>482.7</v>
      </c>
      <c r="E124" s="26"/>
      <c r="F124" s="26"/>
      <c r="G124" s="26"/>
      <c r="H124" s="26"/>
      <c r="I124" s="26"/>
      <c r="J124" s="26"/>
      <c r="K124" s="26"/>
      <c r="L124" s="26"/>
      <c r="M124" s="26"/>
      <c r="N124" s="26">
        <f>SUM(D124,G124)</f>
        <v>482.7</v>
      </c>
      <c r="O124" s="23"/>
    </row>
    <row r="125" spans="1:15" s="19" customFormat="1" ht="24.75" customHeight="1">
      <c r="A125" s="65"/>
      <c r="B125" s="39"/>
      <c r="C125" s="7" t="s">
        <v>9</v>
      </c>
      <c r="D125" s="29">
        <f>D70+D79+D87+D93+D103+D104+D105+D106+D109+D113+D118+D121+D124</f>
        <v>68107.74900000001</v>
      </c>
      <c r="E125" s="29">
        <f>E70+E79+E87+E93+E103+E104+E105+E106+E109+E113+E118+E121+E124</f>
        <v>2492.7880000000005</v>
      </c>
      <c r="F125" s="29">
        <f>F70+F79+F87+F93+F103+F104+F105+F106+F109+F113+F118+F121+F124</f>
        <v>120.32300000000001</v>
      </c>
      <c r="G125" s="29">
        <f>H125+K125</f>
        <v>206</v>
      </c>
      <c r="H125" s="29">
        <f aca="true" t="shared" si="13" ref="H125:M125">H70+H79+H87+H93+H103+H104+H105+H106+H109+H113+H118+H121+H124</f>
        <v>206</v>
      </c>
      <c r="I125" s="29">
        <f t="shared" si="13"/>
        <v>13.5</v>
      </c>
      <c r="J125" s="29">
        <f t="shared" si="13"/>
        <v>0</v>
      </c>
      <c r="K125" s="29">
        <f t="shared" si="13"/>
        <v>0</v>
      </c>
      <c r="L125" s="29">
        <f t="shared" si="13"/>
        <v>0</v>
      </c>
      <c r="M125" s="29">
        <f t="shared" si="13"/>
        <v>0</v>
      </c>
      <c r="N125" s="51">
        <f>D125+G125</f>
        <v>68313.74900000001</v>
      </c>
      <c r="O125" s="21"/>
    </row>
    <row r="126" spans="1:15" s="19" customFormat="1" ht="15.75">
      <c r="A126" s="65"/>
      <c r="B126" s="70"/>
      <c r="C126" s="18"/>
      <c r="D126" s="26"/>
      <c r="E126" s="26"/>
      <c r="F126" s="26"/>
      <c r="G126" s="26"/>
      <c r="H126" s="26"/>
      <c r="I126" s="26"/>
      <c r="J126" s="26"/>
      <c r="K126" s="26"/>
      <c r="L126" s="26"/>
      <c r="M126" s="26"/>
      <c r="N126" s="26"/>
      <c r="O126" s="54"/>
    </row>
    <row r="127" spans="1:15" ht="15.75">
      <c r="A127" s="65" t="s">
        <v>248</v>
      </c>
      <c r="B127" s="39"/>
      <c r="C127" s="10" t="s">
        <v>118</v>
      </c>
      <c r="D127" s="26"/>
      <c r="E127" s="26"/>
      <c r="F127" s="26"/>
      <c r="G127" s="26"/>
      <c r="H127" s="26"/>
      <c r="I127" s="26"/>
      <c r="J127" s="26"/>
      <c r="K127" s="26"/>
      <c r="L127" s="26"/>
      <c r="M127" s="26"/>
      <c r="N127" s="26"/>
      <c r="O127" s="23"/>
    </row>
    <row r="128" spans="1:15" ht="15.75">
      <c r="A128" s="65" t="s">
        <v>249</v>
      </c>
      <c r="B128" s="39"/>
      <c r="C128" s="10" t="s">
        <v>118</v>
      </c>
      <c r="D128" s="26"/>
      <c r="E128" s="26"/>
      <c r="F128" s="26"/>
      <c r="G128" s="26"/>
      <c r="H128" s="26"/>
      <c r="I128" s="26"/>
      <c r="J128" s="26"/>
      <c r="K128" s="26"/>
      <c r="L128" s="26"/>
      <c r="M128" s="26"/>
      <c r="N128" s="26"/>
      <c r="O128" s="23"/>
    </row>
    <row r="129" spans="1:15" ht="15.75">
      <c r="A129" s="65" t="s">
        <v>250</v>
      </c>
      <c r="B129" s="53" t="s">
        <v>12</v>
      </c>
      <c r="C129" s="7" t="s">
        <v>11</v>
      </c>
      <c r="D129" s="29">
        <f>D135+D130+D131+D132+D133</f>
        <v>3871.2110000000002</v>
      </c>
      <c r="E129" s="29">
        <f>E135+E130+E131+E132+E133</f>
        <v>2592.475</v>
      </c>
      <c r="F129" s="29">
        <f>F135+F130+F131+F132+F133</f>
        <v>251.43099999999998</v>
      </c>
      <c r="G129" s="29">
        <f>G135+G130+G131+G132+G133</f>
        <v>70.2</v>
      </c>
      <c r="H129" s="29">
        <f>I132+H135+H130+H131+H132+H133</f>
        <v>50.9</v>
      </c>
      <c r="I129" s="29">
        <f>J132+I135+I130+I131+I132+I133</f>
        <v>20.4</v>
      </c>
      <c r="J129" s="29">
        <f>K132+J135+J130+J131+J132+J133</f>
        <v>0</v>
      </c>
      <c r="K129" s="29">
        <f>L132+K135+K130+K131+K132+K133</f>
        <v>19.3</v>
      </c>
      <c r="L129" s="29">
        <f>M132+L135+L130+L131+L132+L133</f>
        <v>19.3</v>
      </c>
      <c r="M129" s="29">
        <f>M135+M130+M131+M132+M133</f>
        <v>12.3</v>
      </c>
      <c r="N129" s="29">
        <f>N135+N130+N131+N132+N133</f>
        <v>3941.411</v>
      </c>
      <c r="O129" s="23"/>
    </row>
    <row r="130" spans="1:15" ht="15.75">
      <c r="A130" s="65" t="s">
        <v>233</v>
      </c>
      <c r="B130" s="39" t="s">
        <v>18</v>
      </c>
      <c r="C130" s="8" t="s">
        <v>13</v>
      </c>
      <c r="D130" s="26">
        <f>1895.569+21.434-91.794+9.38-56.6</f>
        <v>1777.989</v>
      </c>
      <c r="E130" s="52">
        <f>1304.035-67.095-27</f>
        <v>1209.94</v>
      </c>
      <c r="F130" s="26">
        <f>92.1+9.38-10</f>
        <v>91.47999999999999</v>
      </c>
      <c r="G130" s="26">
        <f>H130+K130</f>
        <v>19.3</v>
      </c>
      <c r="H130" s="26"/>
      <c r="I130" s="26"/>
      <c r="J130" s="26"/>
      <c r="K130" s="26">
        <f>7+12.3</f>
        <v>19.3</v>
      </c>
      <c r="L130" s="21">
        <f>7+12.3</f>
        <v>19.3</v>
      </c>
      <c r="M130" s="26">
        <v>12.3</v>
      </c>
      <c r="N130" s="26">
        <f aca="true" t="shared" si="14" ref="N130:N137">SUM(D130,G130)</f>
        <v>1797.289</v>
      </c>
      <c r="O130" s="23"/>
    </row>
    <row r="131" spans="1:15" ht="15.75">
      <c r="A131" s="65" t="s">
        <v>234</v>
      </c>
      <c r="B131" s="39" t="s">
        <v>19</v>
      </c>
      <c r="C131" s="8" t="s">
        <v>14</v>
      </c>
      <c r="D131" s="26">
        <f>354.518+1.695-11.568+7.67-26.5</f>
        <v>325.815</v>
      </c>
      <c r="E131" s="52">
        <f>226.774-8.487-12.6</f>
        <v>205.687</v>
      </c>
      <c r="F131" s="26">
        <f>38.275+7.67-7</f>
        <v>38.945</v>
      </c>
      <c r="G131" s="26"/>
      <c r="H131" s="26"/>
      <c r="I131" s="26"/>
      <c r="J131" s="26"/>
      <c r="K131" s="26"/>
      <c r="L131" s="26"/>
      <c r="M131" s="26"/>
      <c r="N131" s="26">
        <f t="shared" si="14"/>
        <v>325.815</v>
      </c>
      <c r="O131" s="23"/>
    </row>
    <row r="132" spans="1:15" ht="33.75" customHeight="1">
      <c r="A132" s="65" t="s">
        <v>235</v>
      </c>
      <c r="B132" s="39" t="s">
        <v>21</v>
      </c>
      <c r="C132" s="17" t="s">
        <v>24</v>
      </c>
      <c r="D132" s="26">
        <f>768.313+3.608-29.534+11.96+18.35</f>
        <v>772.697</v>
      </c>
      <c r="E132" s="52">
        <f>488.2-21.68+23</f>
        <v>489.52</v>
      </c>
      <c r="F132" s="26">
        <f>81.163+11.96-7</f>
        <v>86.12299999999999</v>
      </c>
      <c r="G132" s="26">
        <f>H132+K132</f>
        <v>12.6</v>
      </c>
      <c r="H132" s="26">
        <v>12.6</v>
      </c>
      <c r="I132" s="21"/>
      <c r="J132" s="26"/>
      <c r="K132" s="26"/>
      <c r="L132" s="26"/>
      <c r="M132" s="26"/>
      <c r="N132" s="26">
        <f t="shared" si="14"/>
        <v>785.297</v>
      </c>
      <c r="O132" s="23"/>
    </row>
    <row r="133" spans="1:15" ht="19.5" customHeight="1">
      <c r="A133" s="65" t="s">
        <v>236</v>
      </c>
      <c r="B133" s="39" t="s">
        <v>0</v>
      </c>
      <c r="C133" s="17" t="s">
        <v>1</v>
      </c>
      <c r="D133" s="26">
        <f>805.289+1.114-38.332+5.24-8.6</f>
        <v>764.711</v>
      </c>
      <c r="E133" s="52">
        <f>570.3-27.917-0.5</f>
        <v>541.8829999999999</v>
      </c>
      <c r="F133" s="26">
        <f>24.139+5.24-8</f>
        <v>21.378999999999998</v>
      </c>
      <c r="G133" s="26">
        <f>H133+K133</f>
        <v>32</v>
      </c>
      <c r="H133" s="26">
        <v>32</v>
      </c>
      <c r="I133" s="26">
        <v>20.4</v>
      </c>
      <c r="J133" s="26"/>
      <c r="K133" s="26"/>
      <c r="L133" s="26"/>
      <c r="M133" s="26"/>
      <c r="N133" s="26">
        <f t="shared" si="14"/>
        <v>796.711</v>
      </c>
      <c r="O133" s="23"/>
    </row>
    <row r="134" spans="1:15" ht="19.5" customHeight="1">
      <c r="A134" s="65" t="s">
        <v>269</v>
      </c>
      <c r="B134" s="39"/>
      <c r="C134" s="17" t="s">
        <v>270</v>
      </c>
      <c r="D134" s="26">
        <f>D135</f>
        <v>229.999</v>
      </c>
      <c r="E134" s="26">
        <f aca="true" t="shared" si="15" ref="E134:M134">E135</f>
        <v>145.445</v>
      </c>
      <c r="F134" s="26">
        <f t="shared" si="15"/>
        <v>13.504</v>
      </c>
      <c r="G134" s="26">
        <f t="shared" si="15"/>
        <v>6.3</v>
      </c>
      <c r="H134" s="26">
        <f t="shared" si="15"/>
        <v>6.3</v>
      </c>
      <c r="I134" s="26">
        <f t="shared" si="15"/>
        <v>0</v>
      </c>
      <c r="J134" s="26">
        <f t="shared" si="15"/>
        <v>0</v>
      </c>
      <c r="K134" s="26">
        <f t="shared" si="15"/>
        <v>0</v>
      </c>
      <c r="L134" s="26">
        <f t="shared" si="15"/>
        <v>0</v>
      </c>
      <c r="M134" s="26">
        <f t="shared" si="15"/>
        <v>0</v>
      </c>
      <c r="N134" s="26">
        <f t="shared" si="14"/>
        <v>236.299</v>
      </c>
      <c r="O134" s="23"/>
    </row>
    <row r="135" spans="1:15" ht="15.75">
      <c r="A135" s="65" t="s">
        <v>237</v>
      </c>
      <c r="B135" s="39" t="s">
        <v>22</v>
      </c>
      <c r="C135" s="17" t="s">
        <v>242</v>
      </c>
      <c r="D135" s="26">
        <f>220.666+7.856-5.963+3.19+4.25</f>
        <v>229.999</v>
      </c>
      <c r="E135" s="52">
        <f>145.82-4.375+4</f>
        <v>145.445</v>
      </c>
      <c r="F135" s="26">
        <f>10.314+3.19</f>
        <v>13.504</v>
      </c>
      <c r="G135" s="26">
        <f>H135+K135</f>
        <v>6.3</v>
      </c>
      <c r="H135" s="26">
        <v>6.3</v>
      </c>
      <c r="I135" s="21"/>
      <c r="J135" s="26"/>
      <c r="K135" s="26"/>
      <c r="L135" s="26"/>
      <c r="M135" s="26"/>
      <c r="N135" s="26">
        <f t="shared" si="14"/>
        <v>236.299</v>
      </c>
      <c r="O135" s="23"/>
    </row>
    <row r="136" spans="1:15" ht="15.75">
      <c r="A136" s="65"/>
      <c r="B136" s="39"/>
      <c r="C136" s="16" t="s">
        <v>9</v>
      </c>
      <c r="D136" s="29">
        <f aca="true" t="shared" si="16" ref="D136:M136">D130+D131+D132+D133+D135</f>
        <v>3871.2110000000002</v>
      </c>
      <c r="E136" s="29">
        <f t="shared" si="16"/>
        <v>2592.475</v>
      </c>
      <c r="F136" s="29">
        <f t="shared" si="16"/>
        <v>251.43099999999995</v>
      </c>
      <c r="G136" s="29">
        <f>G130+G131+G132+G133+G135</f>
        <v>70.2</v>
      </c>
      <c r="H136" s="29">
        <f t="shared" si="16"/>
        <v>50.9</v>
      </c>
      <c r="I136" s="29">
        <f t="shared" si="16"/>
        <v>20.4</v>
      </c>
      <c r="J136" s="29">
        <f t="shared" si="16"/>
        <v>0</v>
      </c>
      <c r="K136" s="29">
        <f t="shared" si="16"/>
        <v>19.3</v>
      </c>
      <c r="L136" s="29">
        <f t="shared" si="16"/>
        <v>19.3</v>
      </c>
      <c r="M136" s="29">
        <f t="shared" si="16"/>
        <v>12.3</v>
      </c>
      <c r="N136" s="29">
        <f t="shared" si="14"/>
        <v>3941.411</v>
      </c>
      <c r="O136" s="23"/>
    </row>
    <row r="137" spans="1:15" ht="14.25" customHeight="1" hidden="1">
      <c r="A137" s="65"/>
      <c r="B137" s="39"/>
      <c r="C137" s="7"/>
      <c r="D137" s="29"/>
      <c r="E137" s="26"/>
      <c r="F137" s="26"/>
      <c r="G137" s="26"/>
      <c r="H137" s="26"/>
      <c r="I137" s="26"/>
      <c r="J137" s="26"/>
      <c r="K137" s="26"/>
      <c r="L137" s="26"/>
      <c r="M137" s="26"/>
      <c r="N137" s="26">
        <f t="shared" si="14"/>
        <v>0</v>
      </c>
      <c r="O137" s="23"/>
    </row>
    <row r="138" spans="1:15" ht="14.25" customHeight="1">
      <c r="A138" s="65"/>
      <c r="B138" s="39"/>
      <c r="C138" s="7"/>
      <c r="D138" s="29"/>
      <c r="E138" s="26"/>
      <c r="F138" s="26"/>
      <c r="G138" s="26"/>
      <c r="H138" s="26"/>
      <c r="I138" s="26"/>
      <c r="J138" s="26"/>
      <c r="K138" s="26"/>
      <c r="L138" s="26"/>
      <c r="M138" s="26"/>
      <c r="N138" s="26"/>
      <c r="O138" s="23"/>
    </row>
    <row r="139" spans="1:15" ht="21.75" customHeight="1">
      <c r="A139" s="65" t="s">
        <v>251</v>
      </c>
      <c r="B139" s="39"/>
      <c r="C139" s="16" t="s">
        <v>2</v>
      </c>
      <c r="D139" s="26"/>
      <c r="E139" s="26"/>
      <c r="F139" s="26"/>
      <c r="G139" s="26"/>
      <c r="H139" s="26"/>
      <c r="I139" s="26"/>
      <c r="J139" s="26"/>
      <c r="K139" s="26"/>
      <c r="L139" s="26"/>
      <c r="M139" s="26"/>
      <c r="N139" s="26"/>
      <c r="O139" s="23"/>
    </row>
    <row r="140" spans="1:15" ht="51" customHeight="1" hidden="1">
      <c r="A140" s="65"/>
      <c r="B140" s="39"/>
      <c r="C140" s="16" t="s">
        <v>2</v>
      </c>
      <c r="D140" s="26"/>
      <c r="E140" s="26"/>
      <c r="F140" s="26"/>
      <c r="G140" s="26"/>
      <c r="H140" s="26"/>
      <c r="I140" s="26"/>
      <c r="J140" s="26"/>
      <c r="K140" s="26"/>
      <c r="L140" s="26"/>
      <c r="M140" s="26"/>
      <c r="N140" s="26">
        <f aca="true" t="shared" si="17" ref="N140:N151">SUM(D140,G140)</f>
        <v>0</v>
      </c>
      <c r="O140" s="23"/>
    </row>
    <row r="141" spans="1:15" ht="20.25" customHeight="1">
      <c r="A141" s="65" t="s">
        <v>252</v>
      </c>
      <c r="B141" s="39"/>
      <c r="C141" s="16" t="s">
        <v>2</v>
      </c>
      <c r="D141" s="26"/>
      <c r="E141" s="26"/>
      <c r="F141" s="26"/>
      <c r="G141" s="26"/>
      <c r="H141" s="26"/>
      <c r="I141" s="26"/>
      <c r="J141" s="26"/>
      <c r="K141" s="26"/>
      <c r="L141" s="26"/>
      <c r="M141" s="26"/>
      <c r="N141" s="26"/>
      <c r="O141" s="23"/>
    </row>
    <row r="142" spans="1:15" ht="17.25" customHeight="1">
      <c r="A142" s="65" t="s">
        <v>238</v>
      </c>
      <c r="B142" s="39" t="s">
        <v>112</v>
      </c>
      <c r="C142" s="17" t="s">
        <v>113</v>
      </c>
      <c r="D142" s="26">
        <f>10-1.415</f>
        <v>8.585</v>
      </c>
      <c r="E142" s="26"/>
      <c r="F142" s="26"/>
      <c r="G142" s="26"/>
      <c r="H142" s="26"/>
      <c r="I142" s="26"/>
      <c r="J142" s="26"/>
      <c r="K142" s="26"/>
      <c r="L142" s="26"/>
      <c r="M142" s="26"/>
      <c r="N142" s="26">
        <f t="shared" si="17"/>
        <v>8.585</v>
      </c>
      <c r="O142" s="23"/>
    </row>
    <row r="143" spans="1:15" ht="47.25" customHeight="1">
      <c r="A143" s="65" t="s">
        <v>239</v>
      </c>
      <c r="B143" s="71">
        <v>250311</v>
      </c>
      <c r="C143" s="35" t="s">
        <v>100</v>
      </c>
      <c r="D143" s="26">
        <f>10771.941-71.943</f>
        <v>10699.998000000001</v>
      </c>
      <c r="E143" s="26"/>
      <c r="F143" s="26"/>
      <c r="G143" s="26"/>
      <c r="H143" s="26"/>
      <c r="I143" s="26"/>
      <c r="J143" s="26"/>
      <c r="K143" s="26"/>
      <c r="L143" s="26"/>
      <c r="M143" s="26"/>
      <c r="N143" s="26">
        <f t="shared" si="17"/>
        <v>10699.998000000001</v>
      </c>
      <c r="O143" s="23"/>
    </row>
    <row r="144" spans="1:15" ht="48" customHeight="1">
      <c r="A144" s="65" t="s">
        <v>240</v>
      </c>
      <c r="B144" s="39" t="s">
        <v>79</v>
      </c>
      <c r="C144" s="27" t="s">
        <v>101</v>
      </c>
      <c r="D144" s="26">
        <v>311.5</v>
      </c>
      <c r="E144" s="26"/>
      <c r="F144" s="26"/>
      <c r="G144" s="26"/>
      <c r="H144" s="26"/>
      <c r="I144" s="26"/>
      <c r="J144" s="26"/>
      <c r="K144" s="26"/>
      <c r="L144" s="26"/>
      <c r="M144" s="26"/>
      <c r="N144" s="26">
        <f t="shared" si="17"/>
        <v>311.5</v>
      </c>
      <c r="O144" s="23"/>
    </row>
    <row r="145" spans="1:15" ht="64.5" customHeight="1" hidden="1">
      <c r="A145" s="65"/>
      <c r="B145" s="39"/>
      <c r="C145" s="27"/>
      <c r="D145" s="26"/>
      <c r="E145" s="26"/>
      <c r="F145" s="26"/>
      <c r="G145" s="26"/>
      <c r="H145" s="26"/>
      <c r="I145" s="26"/>
      <c r="J145" s="26"/>
      <c r="K145" s="26"/>
      <c r="L145" s="26"/>
      <c r="M145" s="26"/>
      <c r="N145" s="26">
        <f t="shared" si="17"/>
        <v>0</v>
      </c>
      <c r="O145" s="23"/>
    </row>
    <row r="146" spans="1:15" ht="64.5" customHeight="1">
      <c r="A146" s="65" t="s">
        <v>311</v>
      </c>
      <c r="B146" s="39" t="s">
        <v>312</v>
      </c>
      <c r="C146" s="27" t="s">
        <v>313</v>
      </c>
      <c r="D146" s="26">
        <v>9</v>
      </c>
      <c r="E146" s="26"/>
      <c r="F146" s="26"/>
      <c r="G146" s="26"/>
      <c r="H146" s="26"/>
      <c r="I146" s="26"/>
      <c r="J146" s="26"/>
      <c r="K146" s="26"/>
      <c r="L146" s="26"/>
      <c r="M146" s="26"/>
      <c r="N146" s="26">
        <f t="shared" si="17"/>
        <v>9</v>
      </c>
      <c r="O146" s="23"/>
    </row>
    <row r="147" spans="1:15" ht="71.25" customHeight="1">
      <c r="A147" s="65" t="s">
        <v>241</v>
      </c>
      <c r="B147" s="39" t="s">
        <v>103</v>
      </c>
      <c r="C147" s="27" t="s">
        <v>104</v>
      </c>
      <c r="D147" s="26"/>
      <c r="E147" s="26"/>
      <c r="F147" s="26"/>
      <c r="G147" s="26">
        <f>H147+K147</f>
        <v>1163.6999999999998</v>
      </c>
      <c r="H147" s="26">
        <f>272.5+98.4</f>
        <v>370.9</v>
      </c>
      <c r="I147" s="26"/>
      <c r="J147" s="26"/>
      <c r="K147" s="26">
        <f>579.1+213.7</f>
        <v>792.8</v>
      </c>
      <c r="L147" s="26"/>
      <c r="M147" s="26"/>
      <c r="N147" s="26">
        <f t="shared" si="17"/>
        <v>1163.6999999999998</v>
      </c>
      <c r="O147" s="23"/>
    </row>
    <row r="148" spans="1:15" ht="28.5" customHeight="1">
      <c r="A148" s="65" t="s">
        <v>271</v>
      </c>
      <c r="B148" s="39"/>
      <c r="C148" s="27" t="s">
        <v>272</v>
      </c>
      <c r="D148" s="26">
        <f>D149</f>
        <v>100</v>
      </c>
      <c r="E148" s="26"/>
      <c r="F148" s="26"/>
      <c r="G148" s="57">
        <f>H148+K148</f>
        <v>48.18355</v>
      </c>
      <c r="H148" s="57">
        <f>H150</f>
        <v>6.23748</v>
      </c>
      <c r="I148" s="57"/>
      <c r="J148" s="57"/>
      <c r="K148" s="57">
        <f>K150</f>
        <v>41.94607</v>
      </c>
      <c r="L148" s="57"/>
      <c r="M148" s="57"/>
      <c r="N148" s="57">
        <f t="shared" si="17"/>
        <v>148.18355</v>
      </c>
      <c r="O148" s="23"/>
    </row>
    <row r="149" spans="1:15" ht="56.25" customHeight="1">
      <c r="A149" s="65" t="s">
        <v>243</v>
      </c>
      <c r="B149" s="39" t="s">
        <v>107</v>
      </c>
      <c r="C149" s="27" t="s">
        <v>290</v>
      </c>
      <c r="D149" s="26">
        <v>100</v>
      </c>
      <c r="E149" s="26"/>
      <c r="F149" s="26"/>
      <c r="G149" s="26"/>
      <c r="H149" s="26"/>
      <c r="I149" s="26"/>
      <c r="J149" s="26"/>
      <c r="K149" s="26"/>
      <c r="L149" s="26"/>
      <c r="M149" s="26"/>
      <c r="N149" s="26">
        <f t="shared" si="17"/>
        <v>100</v>
      </c>
      <c r="O149" s="23"/>
    </row>
    <row r="150" spans="1:15" ht="84" customHeight="1">
      <c r="A150" s="65" t="s">
        <v>316</v>
      </c>
      <c r="B150" s="39" t="s">
        <v>107</v>
      </c>
      <c r="C150" s="88" t="s">
        <v>317</v>
      </c>
      <c r="D150" s="26"/>
      <c r="E150" s="26"/>
      <c r="F150" s="26"/>
      <c r="G150" s="57">
        <f>H150+K150</f>
        <v>48.18355</v>
      </c>
      <c r="H150" s="57">
        <v>6.23748</v>
      </c>
      <c r="I150" s="57"/>
      <c r="J150" s="57"/>
      <c r="K150" s="57">
        <v>41.94607</v>
      </c>
      <c r="L150" s="26"/>
      <c r="M150" s="26"/>
      <c r="N150" s="57">
        <f t="shared" si="17"/>
        <v>48.18355</v>
      </c>
      <c r="O150" s="23"/>
    </row>
    <row r="151" spans="1:15" ht="1.5" customHeight="1">
      <c r="A151" s="65"/>
      <c r="B151" s="39"/>
      <c r="C151" s="79"/>
      <c r="D151" s="46"/>
      <c r="E151" s="26"/>
      <c r="F151" s="26"/>
      <c r="G151" s="57"/>
      <c r="H151" s="57"/>
      <c r="I151" s="57"/>
      <c r="J151" s="57"/>
      <c r="K151" s="57"/>
      <c r="L151" s="57"/>
      <c r="M151" s="57"/>
      <c r="N151" s="26">
        <f t="shared" si="17"/>
        <v>0</v>
      </c>
      <c r="O151" s="23"/>
    </row>
    <row r="152" spans="1:15" ht="19.5" customHeight="1">
      <c r="A152" s="68"/>
      <c r="B152" s="39"/>
      <c r="C152" s="36" t="s">
        <v>3</v>
      </c>
      <c r="D152" s="50">
        <f>D143+D144+D147+D149+D142+D151+D146</f>
        <v>11129.083</v>
      </c>
      <c r="E152" s="6"/>
      <c r="F152" s="21"/>
      <c r="G152" s="50">
        <f>H152+K152</f>
        <v>1211.88355</v>
      </c>
      <c r="H152" s="50">
        <f>H143+H144+H147+H149+H142+H151+H150</f>
        <v>377.13748</v>
      </c>
      <c r="I152" s="50">
        <f>I143+I144+I147+I149+I142+I151+I150</f>
        <v>0</v>
      </c>
      <c r="J152" s="50">
        <f>J143+J144+J147+J149+J142+J151+J150</f>
        <v>0</v>
      </c>
      <c r="K152" s="50">
        <f>K143+K144+K147+K149+K142+K151+K150</f>
        <v>834.7460699999999</v>
      </c>
      <c r="L152" s="50">
        <f>L143+L144+L147+L149+L142+L151+L150</f>
        <v>0</v>
      </c>
      <c r="M152" s="50">
        <f>M143+M144+M147+M149+M142+M151</f>
        <v>0</v>
      </c>
      <c r="N152" s="26">
        <f>SUM(D152,G152)</f>
        <v>12340.966550000001</v>
      </c>
      <c r="O152" s="23"/>
    </row>
    <row r="153" spans="1:15" ht="61.5" customHeight="1" hidden="1">
      <c r="A153" s="68"/>
      <c r="B153" s="39"/>
      <c r="C153" s="35"/>
      <c r="D153" s="26"/>
      <c r="E153" s="26"/>
      <c r="F153" s="26"/>
      <c r="G153" s="26"/>
      <c r="H153" s="26"/>
      <c r="I153" s="26"/>
      <c r="J153" s="26"/>
      <c r="K153" s="26"/>
      <c r="L153" s="26"/>
      <c r="M153" s="26"/>
      <c r="N153" s="26"/>
      <c r="O153" s="23"/>
    </row>
    <row r="154" spans="1:15" ht="18.75">
      <c r="A154" s="68"/>
      <c r="B154" s="39"/>
      <c r="C154" s="25" t="s">
        <v>85</v>
      </c>
      <c r="D154" s="89">
        <f>D152+D136+D125+D66+D45+D21</f>
        <v>153001.81960999998</v>
      </c>
      <c r="E154" s="29">
        <f>E152+E136+E125+E66+E45+E21</f>
        <v>43090.933</v>
      </c>
      <c r="F154" s="29">
        <f>F152+F136+F125+F66+F45+F21</f>
        <v>6623.014</v>
      </c>
      <c r="G154" s="89">
        <f>H154+K154</f>
        <v>2716.9735499999997</v>
      </c>
      <c r="H154" s="89">
        <f aca="true" t="shared" si="18" ref="H154:M154">H152+H136+H125+H66+H45+H21</f>
        <v>1185.03648</v>
      </c>
      <c r="I154" s="29">
        <f t="shared" si="18"/>
        <v>163.9</v>
      </c>
      <c r="J154" s="80">
        <f t="shared" si="18"/>
        <v>0</v>
      </c>
      <c r="K154" s="89">
        <f t="shared" si="18"/>
        <v>1531.93707</v>
      </c>
      <c r="L154" s="29">
        <f t="shared" si="18"/>
        <v>323.80600000000004</v>
      </c>
      <c r="M154" s="29">
        <f t="shared" si="18"/>
        <v>264.085</v>
      </c>
      <c r="N154" s="89">
        <f>D154+G154</f>
        <v>155718.79315999997</v>
      </c>
      <c r="O154" s="23"/>
    </row>
    <row r="155" spans="1:17" ht="15.75">
      <c r="A155" s="68"/>
      <c r="B155" s="39"/>
      <c r="C155" s="8"/>
      <c r="D155" s="26"/>
      <c r="E155" s="26"/>
      <c r="F155" s="26"/>
      <c r="G155" s="26"/>
      <c r="H155" s="26"/>
      <c r="I155" s="26"/>
      <c r="J155" s="26"/>
      <c r="K155" s="26"/>
      <c r="L155" s="26"/>
      <c r="M155" s="26"/>
      <c r="N155" s="26"/>
      <c r="O155" s="23"/>
      <c r="Q155" s="23"/>
    </row>
    <row r="156" spans="1:15" ht="18.75" customHeight="1">
      <c r="A156" s="68"/>
      <c r="B156" s="39"/>
      <c r="C156" s="111" t="s">
        <v>92</v>
      </c>
      <c r="D156" s="111"/>
      <c r="E156" s="6"/>
      <c r="G156" s="47"/>
      <c r="H156" s="108" t="s">
        <v>93</v>
      </c>
      <c r="I156" s="108"/>
      <c r="J156" s="108"/>
      <c r="K156" s="108"/>
      <c r="L156" s="11"/>
      <c r="M156" s="15" t="s">
        <v>78</v>
      </c>
      <c r="N156" s="11"/>
      <c r="O156" s="60"/>
    </row>
    <row r="157" spans="1:14" ht="12.75" customHeight="1">
      <c r="A157" s="68"/>
      <c r="B157" s="39"/>
      <c r="C157" s="7"/>
      <c r="D157" s="21"/>
      <c r="E157" s="21"/>
      <c r="F157" s="21"/>
      <c r="G157" s="11"/>
      <c r="H157" s="11"/>
      <c r="I157" s="11"/>
      <c r="J157" s="11"/>
      <c r="K157" s="11"/>
      <c r="L157" s="11"/>
      <c r="M157" s="11"/>
      <c r="N157" s="11"/>
    </row>
    <row r="158" spans="1:6" ht="15.75" hidden="1">
      <c r="A158" s="68"/>
      <c r="B158" s="39"/>
      <c r="C158" s="8"/>
      <c r="D158" s="23"/>
      <c r="E158" s="23"/>
      <c r="F158" s="23"/>
    </row>
    <row r="159" spans="1:14" ht="15.75" hidden="1">
      <c r="A159" s="68"/>
      <c r="B159" s="39"/>
      <c r="C159" s="13"/>
      <c r="D159" s="22"/>
      <c r="E159" s="22"/>
      <c r="F159" s="22"/>
      <c r="G159" s="14">
        <f>SUM(H159,K159)</f>
        <v>2</v>
      </c>
      <c r="H159" s="14">
        <f>SUM(H16)</f>
        <v>2</v>
      </c>
      <c r="I159" s="14">
        <f>SUM(I16)</f>
        <v>0</v>
      </c>
      <c r="J159" s="14">
        <f>SUM(J16)</f>
        <v>0</v>
      </c>
      <c r="K159" s="14">
        <f>SUM(K16)</f>
        <v>0</v>
      </c>
      <c r="L159" s="14"/>
      <c r="M159" s="14"/>
      <c r="N159" s="14" t="e">
        <f>SUM(#REF!,G159)</f>
        <v>#REF!</v>
      </c>
    </row>
    <row r="160" spans="1:14" ht="15.75" hidden="1">
      <c r="A160" s="68"/>
      <c r="B160" s="39"/>
      <c r="C160" s="13"/>
      <c r="D160" s="22"/>
      <c r="E160" s="22"/>
      <c r="F160" s="22"/>
      <c r="G160" s="14" t="e">
        <f aca="true" t="shared" si="19" ref="G160:G179">SUM(H160,K160)</f>
        <v>#REF!</v>
      </c>
      <c r="H160" s="14" t="e">
        <f>SUM(#REF!)</f>
        <v>#REF!</v>
      </c>
      <c r="I160" s="14" t="e">
        <f>SUM(#REF!)</f>
        <v>#REF!</v>
      </c>
      <c r="J160" s="14" t="e">
        <f>SUM(#REF!)</f>
        <v>#REF!</v>
      </c>
      <c r="K160" s="14" t="e">
        <f>SUM(#REF!)</f>
        <v>#REF!</v>
      </c>
      <c r="L160" s="14"/>
      <c r="M160" s="14"/>
      <c r="N160" s="14" t="e">
        <f>SUM(#REF!,G160)</f>
        <v>#REF!</v>
      </c>
    </row>
    <row r="161" spans="1:14" ht="15.75" hidden="1">
      <c r="A161" s="68"/>
      <c r="B161" s="39"/>
      <c r="C161" s="13"/>
      <c r="D161" s="22"/>
      <c r="E161" s="22"/>
      <c r="F161" s="22"/>
      <c r="G161" s="14" t="e">
        <f t="shared" si="19"/>
        <v>#REF!</v>
      </c>
      <c r="H161" s="14" t="e">
        <f>SUM(H45,#REF!,#REF!,#REF!,#REF!)</f>
        <v>#REF!</v>
      </c>
      <c r="I161" s="14" t="e">
        <f>SUM(I45,#REF!,#REF!,#REF!,#REF!)</f>
        <v>#REF!</v>
      </c>
      <c r="J161" s="14" t="e">
        <f>SUM(J45,#REF!,#REF!,#REF!,#REF!)</f>
        <v>#REF!</v>
      </c>
      <c r="K161" s="14" t="e">
        <f>SUM(K45,#REF!,#REF!,#REF!,#REF!)</f>
        <v>#REF!</v>
      </c>
      <c r="L161" s="14"/>
      <c r="M161" s="14"/>
      <c r="N161" s="14" t="e">
        <f>SUM(#REF!,G161)</f>
        <v>#REF!</v>
      </c>
    </row>
    <row r="162" spans="1:14" ht="15.75" hidden="1">
      <c r="A162" s="68"/>
      <c r="B162" s="39"/>
      <c r="C162" s="13"/>
      <c r="D162" s="22"/>
      <c r="E162" s="22"/>
      <c r="F162" s="22"/>
      <c r="G162" s="14">
        <f t="shared" si="19"/>
        <v>142.851</v>
      </c>
      <c r="H162" s="14">
        <f>SUM(H48)</f>
        <v>25.7</v>
      </c>
      <c r="I162" s="14">
        <f>SUM(I48)</f>
        <v>0</v>
      </c>
      <c r="J162" s="14">
        <f>SUM(J48)</f>
        <v>0</v>
      </c>
      <c r="K162" s="14">
        <f>SUM(K48)</f>
        <v>117.15100000000001</v>
      </c>
      <c r="L162" s="14"/>
      <c r="M162" s="14"/>
      <c r="N162" s="14" t="e">
        <f>SUM(#REF!,G162)</f>
        <v>#REF!</v>
      </c>
    </row>
    <row r="163" spans="1:14" ht="15.75" hidden="1">
      <c r="A163" s="68"/>
      <c r="B163" s="39"/>
      <c r="C163" s="13"/>
      <c r="D163" s="22"/>
      <c r="E163" s="22"/>
      <c r="F163" s="22"/>
      <c r="G163" s="14" t="e">
        <f t="shared" si="19"/>
        <v>#REF!</v>
      </c>
      <c r="H163" s="14" t="e">
        <f>SUM(H71:H88,#REF!)</f>
        <v>#REF!</v>
      </c>
      <c r="I163" s="14" t="e">
        <f>SUM(I71:I88,#REF!)</f>
        <v>#REF!</v>
      </c>
      <c r="J163" s="14" t="e">
        <f>SUM(J71:J88,#REF!)</f>
        <v>#REF!</v>
      </c>
      <c r="K163" s="14" t="e">
        <f>SUM(K71:K88,#REF!)</f>
        <v>#REF!</v>
      </c>
      <c r="L163" s="14"/>
      <c r="M163" s="14"/>
      <c r="N163" s="14" t="e">
        <f>SUM(#REF!,G163)</f>
        <v>#REF!</v>
      </c>
    </row>
    <row r="164" spans="1:14" ht="12.75" customHeight="1" hidden="1">
      <c r="A164" s="68"/>
      <c r="B164" s="39"/>
      <c r="C164" s="13"/>
      <c r="D164" s="22"/>
      <c r="E164" s="22"/>
      <c r="F164" s="22"/>
      <c r="G164" s="14" t="e">
        <f>SUM(#REF!)</f>
        <v>#REF!</v>
      </c>
      <c r="H164" s="14" t="e">
        <f>SUM(#REF!)</f>
        <v>#REF!</v>
      </c>
      <c r="I164" s="14" t="e">
        <f>SUM(#REF!)</f>
        <v>#REF!</v>
      </c>
      <c r="J164" s="14" t="e">
        <f>SUM(#REF!)</f>
        <v>#REF!</v>
      </c>
      <c r="K164" s="14" t="e">
        <f>SUM(#REF!)</f>
        <v>#REF!</v>
      </c>
      <c r="L164" s="14"/>
      <c r="M164" s="14"/>
      <c r="N164" s="14" t="e">
        <f>SUM(#REF!,G164)</f>
        <v>#REF!</v>
      </c>
    </row>
    <row r="165" spans="1:14" ht="15.75" hidden="1">
      <c r="A165" s="68"/>
      <c r="B165" s="39"/>
      <c r="C165" s="13"/>
      <c r="D165" s="22"/>
      <c r="E165" s="22"/>
      <c r="F165" s="22"/>
      <c r="G165" s="14" t="e">
        <f t="shared" si="19"/>
        <v>#REF!</v>
      </c>
      <c r="H165" s="14" t="e">
        <f>SUM(#REF!,H129)</f>
        <v>#REF!</v>
      </c>
      <c r="I165" s="14" t="e">
        <f>SUM(#REF!,I129)</f>
        <v>#REF!</v>
      </c>
      <c r="J165" s="14" t="e">
        <f>SUM(#REF!,J129)</f>
        <v>#REF!</v>
      </c>
      <c r="K165" s="14" t="e">
        <f>SUM(#REF!,K129)</f>
        <v>#REF!</v>
      </c>
      <c r="L165" s="14"/>
      <c r="M165" s="14"/>
      <c r="N165" s="14" t="e">
        <f>SUM(#REF!,G165)</f>
        <v>#REF!</v>
      </c>
    </row>
    <row r="166" spans="1:14" ht="15.75" hidden="1">
      <c r="A166" s="68"/>
      <c r="B166" s="39"/>
      <c r="C166" s="13"/>
      <c r="D166" s="22"/>
      <c r="E166" s="22"/>
      <c r="F166" s="22"/>
      <c r="G166" s="14" t="e">
        <f t="shared" si="19"/>
        <v>#REF!</v>
      </c>
      <c r="H166" s="14" t="e">
        <f>SUM(#REF!,#REF!)</f>
        <v>#REF!</v>
      </c>
      <c r="I166" s="14" t="e">
        <f>SUM(#REF!,#REF!)</f>
        <v>#REF!</v>
      </c>
      <c r="J166" s="14" t="e">
        <f>SUM(#REF!,#REF!)</f>
        <v>#REF!</v>
      </c>
      <c r="K166" s="14" t="e">
        <f>SUM(#REF!,#REF!)</f>
        <v>#REF!</v>
      </c>
      <c r="L166" s="14"/>
      <c r="M166" s="14"/>
      <c r="N166" s="14" t="e">
        <f>SUM(#REF!,G166)</f>
        <v>#REF!</v>
      </c>
    </row>
    <row r="167" spans="1:14" ht="15.75" hidden="1">
      <c r="A167" s="68"/>
      <c r="B167" s="39"/>
      <c r="C167" s="13"/>
      <c r="D167" s="22"/>
      <c r="E167" s="22"/>
      <c r="F167" s="22"/>
      <c r="G167" s="14" t="e">
        <f t="shared" si="19"/>
        <v>#REF!</v>
      </c>
      <c r="H167" s="14" t="e">
        <f>SUM(#REF!)</f>
        <v>#REF!</v>
      </c>
      <c r="I167" s="14" t="e">
        <f>SUM(#REF!)</f>
        <v>#REF!</v>
      </c>
      <c r="J167" s="14" t="e">
        <f>SUM(#REF!)</f>
        <v>#REF!</v>
      </c>
      <c r="K167" s="14" t="e">
        <f>SUM(#REF!)</f>
        <v>#REF!</v>
      </c>
      <c r="L167" s="14"/>
      <c r="M167" s="14"/>
      <c r="N167" s="14" t="e">
        <f>SUM(#REF!,G167)</f>
        <v>#REF!</v>
      </c>
    </row>
    <row r="168" spans="1:14" ht="15.75" hidden="1">
      <c r="A168" s="68"/>
      <c r="B168" s="39"/>
      <c r="C168" s="13"/>
      <c r="D168" s="22"/>
      <c r="E168" s="22"/>
      <c r="F168" s="22"/>
      <c r="G168" s="14" t="e">
        <f t="shared" si="19"/>
        <v>#REF!</v>
      </c>
      <c r="H168" s="14" t="e">
        <f>SUM(#REF!,#REF!,#REF!,#REF!,#REF!,#REF!,#REF!,#REF!,#REF!,#REF!,#REF!)</f>
        <v>#REF!</v>
      </c>
      <c r="I168" s="14" t="e">
        <f>SUM(#REF!,#REF!,#REF!,#REF!,#REF!,#REF!,#REF!,#REF!,#REF!,#REF!,#REF!)</f>
        <v>#REF!</v>
      </c>
      <c r="J168" s="14" t="e">
        <f>SUM(#REF!,#REF!,#REF!,#REF!,#REF!,#REF!,#REF!,#REF!,#REF!,#REF!,#REF!)</f>
        <v>#REF!</v>
      </c>
      <c r="K168" s="14" t="e">
        <f>SUM(#REF!,#REF!,#REF!,#REF!,#REF!,#REF!,#REF!,#REF!,#REF!,#REF!,#REF!)</f>
        <v>#REF!</v>
      </c>
      <c r="L168" s="14"/>
      <c r="M168" s="14"/>
      <c r="N168" s="14" t="e">
        <f>SUM(#REF!,G168)</f>
        <v>#REF!</v>
      </c>
    </row>
    <row r="169" spans="1:14" ht="15.75" hidden="1">
      <c r="A169" s="68"/>
      <c r="B169" s="39"/>
      <c r="C169" s="13"/>
      <c r="D169" s="22"/>
      <c r="E169" s="22"/>
      <c r="F169" s="22"/>
      <c r="G169" s="14" t="e">
        <f t="shared" si="19"/>
        <v>#REF!</v>
      </c>
      <c r="H169" s="14" t="e">
        <f>SUM(#REF!)</f>
        <v>#REF!</v>
      </c>
      <c r="I169" s="14" t="e">
        <f>SUM(#REF!)</f>
        <v>#REF!</v>
      </c>
      <c r="J169" s="14" t="e">
        <f>SUM(#REF!)</f>
        <v>#REF!</v>
      </c>
      <c r="K169" s="14" t="e">
        <f>SUM(#REF!)</f>
        <v>#REF!</v>
      </c>
      <c r="L169" s="14"/>
      <c r="M169" s="14"/>
      <c r="N169" s="14" t="e">
        <f>SUM(#REF!,G169)</f>
        <v>#REF!</v>
      </c>
    </row>
    <row r="170" spans="1:14" ht="15.75" hidden="1">
      <c r="A170" s="68"/>
      <c r="B170" s="39"/>
      <c r="C170" s="13"/>
      <c r="D170" s="22"/>
      <c r="E170" s="22"/>
      <c r="F170" s="22"/>
      <c r="G170" s="14" t="e">
        <f t="shared" si="19"/>
        <v>#REF!</v>
      </c>
      <c r="H170" s="14" t="e">
        <f>SUM(#REF!,#REF!,#REF!,#REF!,#REF!,#REF!)</f>
        <v>#REF!</v>
      </c>
      <c r="I170" s="14" t="e">
        <f>SUM(#REF!,#REF!,#REF!,#REF!,#REF!,#REF!)</f>
        <v>#REF!</v>
      </c>
      <c r="J170" s="14" t="e">
        <f>SUM(#REF!,#REF!,#REF!,#REF!,#REF!,#REF!)</f>
        <v>#REF!</v>
      </c>
      <c r="K170" s="14" t="e">
        <f>SUM(#REF!,#REF!,#REF!,#REF!,#REF!,#REF!)</f>
        <v>#REF!</v>
      </c>
      <c r="L170" s="14"/>
      <c r="M170" s="14"/>
      <c r="N170" s="14" t="e">
        <f>SUM(#REF!,G170)</f>
        <v>#REF!</v>
      </c>
    </row>
    <row r="171" spans="1:14" ht="15.75" hidden="1">
      <c r="A171" s="68"/>
      <c r="B171" s="39"/>
      <c r="C171" s="13"/>
      <c r="D171" s="22"/>
      <c r="E171" s="22"/>
      <c r="F171" s="22"/>
      <c r="G171" s="14" t="e">
        <f t="shared" si="19"/>
        <v>#REF!</v>
      </c>
      <c r="H171" s="14" t="e">
        <f>SUM(#REF!,#REF!)</f>
        <v>#REF!</v>
      </c>
      <c r="I171" s="14" t="e">
        <f>SUM(#REF!,#REF!)</f>
        <v>#REF!</v>
      </c>
      <c r="J171" s="14" t="e">
        <f>SUM(#REF!,#REF!)</f>
        <v>#REF!</v>
      </c>
      <c r="K171" s="14" t="e">
        <f>SUM(#REF!,#REF!)</f>
        <v>#REF!</v>
      </c>
      <c r="L171" s="14"/>
      <c r="M171" s="14"/>
      <c r="N171" s="14" t="e">
        <f>SUM(#REF!,G171)</f>
        <v>#REF!</v>
      </c>
    </row>
    <row r="172" spans="1:14" ht="15.75" hidden="1">
      <c r="A172" s="68"/>
      <c r="B172" s="39"/>
      <c r="C172" s="13"/>
      <c r="D172" s="22"/>
      <c r="E172" s="22"/>
      <c r="F172" s="22"/>
      <c r="G172" s="14" t="e">
        <f t="shared" si="19"/>
        <v>#REF!</v>
      </c>
      <c r="H172" s="14" t="e">
        <f>SUM(#REF!)</f>
        <v>#REF!</v>
      </c>
      <c r="I172" s="14" t="e">
        <f>SUM(#REF!)</f>
        <v>#REF!</v>
      </c>
      <c r="J172" s="14" t="e">
        <f>SUM(#REF!)</f>
        <v>#REF!</v>
      </c>
      <c r="K172" s="14" t="e">
        <f>SUM(#REF!)</f>
        <v>#REF!</v>
      </c>
      <c r="L172" s="14"/>
      <c r="M172" s="14"/>
      <c r="N172" s="14" t="e">
        <f>SUM(#REF!,G172)</f>
        <v>#REF!</v>
      </c>
    </row>
    <row r="173" spans="1:14" ht="15.75" hidden="1">
      <c r="A173" s="68"/>
      <c r="B173" s="72"/>
      <c r="C173" s="13"/>
      <c r="D173" s="22"/>
      <c r="E173" s="22"/>
      <c r="F173" s="22"/>
      <c r="G173" s="14" t="e">
        <f t="shared" si="19"/>
        <v>#REF!</v>
      </c>
      <c r="H173" s="14" t="e">
        <f>SUM(#REF!,#REF!,#REF!,#REF!,#REF!)</f>
        <v>#REF!</v>
      </c>
      <c r="I173" s="14" t="e">
        <f>SUM(#REF!,#REF!,#REF!,#REF!,#REF!)</f>
        <v>#REF!</v>
      </c>
      <c r="J173" s="14" t="e">
        <f>SUM(#REF!,#REF!,#REF!,#REF!,#REF!)</f>
        <v>#REF!</v>
      </c>
      <c r="K173" s="14" t="e">
        <f>SUM(#REF!,#REF!,#REF!,#REF!,#REF!)</f>
        <v>#REF!</v>
      </c>
      <c r="L173" s="14"/>
      <c r="M173" s="14"/>
      <c r="N173" s="14" t="e">
        <f>SUM(#REF!,G173)</f>
        <v>#REF!</v>
      </c>
    </row>
    <row r="174" spans="1:14" ht="15.75" hidden="1">
      <c r="A174" s="68"/>
      <c r="B174" s="72"/>
      <c r="C174" s="13"/>
      <c r="D174" s="22"/>
      <c r="E174" s="22"/>
      <c r="F174" s="22"/>
      <c r="G174" s="14" t="e">
        <f>SUM(#REF!,#REF!,#REF!,#REF!,#REF!,G140)</f>
        <v>#REF!</v>
      </c>
      <c r="H174" s="14" t="e">
        <f>SUM(#REF!,#REF!,#REF!,#REF!,#REF!,H140)</f>
        <v>#REF!</v>
      </c>
      <c r="I174" s="14" t="e">
        <f>SUM(#REF!,#REF!,#REF!,#REF!,#REF!,I140)</f>
        <v>#REF!</v>
      </c>
      <c r="J174" s="14" t="e">
        <f>SUM(#REF!,#REF!,#REF!,#REF!,#REF!,J140)</f>
        <v>#REF!</v>
      </c>
      <c r="K174" s="14" t="e">
        <f>SUM(#REF!,#REF!,#REF!,#REF!,#REF!,K140)</f>
        <v>#REF!</v>
      </c>
      <c r="L174" s="14"/>
      <c r="M174" s="14"/>
      <c r="N174" s="14" t="e">
        <f>SUM(#REF!,G174)</f>
        <v>#REF!</v>
      </c>
    </row>
    <row r="175" spans="1:14" ht="20.25" customHeight="1" hidden="1">
      <c r="A175" s="68"/>
      <c r="B175" s="72"/>
      <c r="C175" s="13"/>
      <c r="D175" s="22"/>
      <c r="E175" s="22"/>
      <c r="F175" s="22"/>
      <c r="G175" s="14" t="e">
        <f t="shared" si="19"/>
        <v>#REF!</v>
      </c>
      <c r="H175" s="14" t="e">
        <f>SUM(#REF!)</f>
        <v>#REF!</v>
      </c>
      <c r="I175" s="14" t="e">
        <f>SUM(#REF!)</f>
        <v>#REF!</v>
      </c>
      <c r="J175" s="14" t="e">
        <f>SUM(#REF!)</f>
        <v>#REF!</v>
      </c>
      <c r="K175" s="14" t="e">
        <f>SUM(#REF!)</f>
        <v>#REF!</v>
      </c>
      <c r="L175" s="14"/>
      <c r="M175" s="14"/>
      <c r="N175" s="14" t="e">
        <f>SUM(#REF!,G175)</f>
        <v>#REF!</v>
      </c>
    </row>
    <row r="176" spans="1:14" ht="21" customHeight="1" hidden="1">
      <c r="A176" s="68"/>
      <c r="B176" s="72"/>
      <c r="C176" s="13"/>
      <c r="D176" s="22"/>
      <c r="E176" s="22"/>
      <c r="F176" s="22"/>
      <c r="G176" s="14" t="e">
        <f t="shared" si="19"/>
        <v>#REF!</v>
      </c>
      <c r="H176" s="14" t="e">
        <f>SUM(#REF!,#REF!)</f>
        <v>#REF!</v>
      </c>
      <c r="I176" s="14" t="e">
        <f>SUM(#REF!,#REF!)</f>
        <v>#REF!</v>
      </c>
      <c r="J176" s="14" t="e">
        <f>SUM(#REF!,#REF!)</f>
        <v>#REF!</v>
      </c>
      <c r="K176" s="14" t="e">
        <f>SUM(#REF!,#REF!)</f>
        <v>#REF!</v>
      </c>
      <c r="L176" s="14"/>
      <c r="M176" s="14"/>
      <c r="N176" s="14" t="e">
        <f>SUM(#REF!,G176)</f>
        <v>#REF!</v>
      </c>
    </row>
    <row r="177" spans="1:14" ht="24.75" customHeight="1" hidden="1">
      <c r="A177" s="68"/>
      <c r="B177" s="72"/>
      <c r="C177" s="13"/>
      <c r="D177" s="22"/>
      <c r="E177" s="22"/>
      <c r="F177" s="22"/>
      <c r="G177" s="14" t="e">
        <f t="shared" si="19"/>
        <v>#REF!</v>
      </c>
      <c r="H177" s="14" t="e">
        <f>SUM(#REF!,#REF!)</f>
        <v>#REF!</v>
      </c>
      <c r="I177" s="14" t="e">
        <f>SUM(#REF!,#REF!)</f>
        <v>#REF!</v>
      </c>
      <c r="J177" s="14" t="e">
        <f>SUM(#REF!,#REF!)</f>
        <v>#REF!</v>
      </c>
      <c r="K177" s="14" t="e">
        <f>SUM(#REF!,#REF!)</f>
        <v>#REF!</v>
      </c>
      <c r="L177" s="14"/>
      <c r="M177" s="14"/>
      <c r="N177" s="14" t="e">
        <f>SUM(#REF!,G177)</f>
        <v>#REF!</v>
      </c>
    </row>
    <row r="178" spans="1:14" ht="24.75" customHeight="1" hidden="1">
      <c r="A178" s="68"/>
      <c r="B178" s="72"/>
      <c r="C178" s="13"/>
      <c r="D178" s="22"/>
      <c r="E178" s="22"/>
      <c r="F178" s="22"/>
      <c r="G178" s="14">
        <f t="shared" si="19"/>
        <v>0</v>
      </c>
      <c r="H178" s="14"/>
      <c r="I178" s="14"/>
      <c r="J178" s="14"/>
      <c r="K178" s="14"/>
      <c r="L178" s="14"/>
      <c r="M178" s="14"/>
      <c r="N178" s="14" t="e">
        <f>SUM(#REF!,G178)</f>
        <v>#REF!</v>
      </c>
    </row>
    <row r="179" spans="1:14" ht="19.5" customHeight="1" hidden="1">
      <c r="A179" s="68"/>
      <c r="B179" s="72"/>
      <c r="C179" s="13"/>
      <c r="D179" s="22"/>
      <c r="E179" s="22"/>
      <c r="F179" s="22"/>
      <c r="G179" s="14" t="e">
        <f t="shared" si="19"/>
        <v>#REF!</v>
      </c>
      <c r="H179" s="14" t="e">
        <f>SUM(H159:H177)</f>
        <v>#REF!</v>
      </c>
      <c r="I179" s="14" t="e">
        <f>SUM(I159:I177)</f>
        <v>#REF!</v>
      </c>
      <c r="J179" s="14" t="e">
        <f>SUM(J159:J177)</f>
        <v>#REF!</v>
      </c>
      <c r="K179" s="14" t="e">
        <f>SUM(K159:K177)</f>
        <v>#REF!</v>
      </c>
      <c r="L179" s="14"/>
      <c r="M179" s="14"/>
      <c r="N179" s="14" t="e">
        <f>SUM(#REF!,G179)</f>
        <v>#REF!</v>
      </c>
    </row>
    <row r="180" spans="1:14" ht="19.5" customHeight="1">
      <c r="A180" s="68"/>
      <c r="B180" s="72"/>
      <c r="C180" s="13"/>
      <c r="D180" s="22"/>
      <c r="E180" s="22"/>
      <c r="F180" s="22"/>
      <c r="G180" s="14"/>
      <c r="H180" s="14"/>
      <c r="I180" s="14"/>
      <c r="J180" s="14"/>
      <c r="K180" s="14"/>
      <c r="L180" s="14"/>
      <c r="M180" s="14"/>
      <c r="N180" s="14"/>
    </row>
    <row r="181" spans="1:14" ht="15.75">
      <c r="A181" s="68"/>
      <c r="B181" s="72"/>
      <c r="C181" s="9"/>
      <c r="D181" s="23"/>
      <c r="E181" s="23"/>
      <c r="F181" s="23"/>
      <c r="N181" s="1">
        <v>162287.594</v>
      </c>
    </row>
    <row r="182" spans="1:15" ht="15.75">
      <c r="A182" s="68"/>
      <c r="B182" s="72"/>
      <c r="C182" s="9"/>
      <c r="D182" s="23"/>
      <c r="E182" s="23"/>
      <c r="F182" s="23"/>
      <c r="N182" s="23">
        <f>N181-N154</f>
        <v>6568.80084000004</v>
      </c>
      <c r="O182" s="59"/>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72"/>
      <c r="C256" s="9"/>
      <c r="D256" s="23"/>
      <c r="E256" s="23"/>
      <c r="F256" s="23"/>
    </row>
    <row r="257" spans="1:6" ht="15.75">
      <c r="A257" s="68"/>
      <c r="B257" s="72"/>
      <c r="C257" s="9"/>
      <c r="D257" s="23"/>
      <c r="E257" s="23"/>
      <c r="F257" s="23"/>
    </row>
    <row r="258" spans="1:6" ht="15.75">
      <c r="A258" s="68"/>
      <c r="B258" s="72"/>
      <c r="C258" s="9"/>
      <c r="D258" s="23"/>
      <c r="E258" s="23"/>
      <c r="F258" s="23"/>
    </row>
    <row r="259" spans="1:6" ht="15.75">
      <c r="A259" s="68"/>
      <c r="B259" s="72"/>
      <c r="C259" s="9"/>
      <c r="D259" s="23"/>
      <c r="E259" s="23"/>
      <c r="F259" s="23"/>
    </row>
    <row r="260" spans="1:6" ht="15.75">
      <c r="A260" s="68"/>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sheetData>
  <sheetProtection/>
  <mergeCells count="21">
    <mergeCell ref="H156:K156"/>
    <mergeCell ref="D9:F9"/>
    <mergeCell ref="C156:D156"/>
    <mergeCell ref="D10:D12"/>
    <mergeCell ref="G9:M9"/>
    <mergeCell ref="L11:L12"/>
    <mergeCell ref="C10:C12"/>
    <mergeCell ref="A9:A12"/>
    <mergeCell ref="B9:B12"/>
    <mergeCell ref="L10:M10"/>
    <mergeCell ref="E11:E12"/>
    <mergeCell ref="E10:F10"/>
    <mergeCell ref="J11:J12"/>
    <mergeCell ref="B6:N6"/>
    <mergeCell ref="G10:G12"/>
    <mergeCell ref="H10:H12"/>
    <mergeCell ref="I10:J10"/>
    <mergeCell ref="K10:K12"/>
    <mergeCell ref="I11:I12"/>
    <mergeCell ref="F11:F12"/>
    <mergeCell ref="N9:N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2014-08-29T11:11:30Z</cp:lastPrinted>
  <dcterms:created xsi:type="dcterms:W3CDTF">2002-12-20T15:22:07Z</dcterms:created>
  <dcterms:modified xsi:type="dcterms:W3CDTF">2014-08-29T11:13:52Z</dcterms:modified>
  <cp:category/>
  <cp:version/>
  <cp:contentType/>
  <cp:contentStatus/>
</cp:coreProperties>
</file>